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ta\Dropbox\MY BUSINESS\DAMU Capital Management\Management Consulting Department (MCD)\CLIENTS\MCD_Adil Kadyrzhanov\Agronomtrast\"/>
    </mc:Choice>
  </mc:AlternateContent>
  <xr:revisionPtr revIDLastSave="0" documentId="13_ncr:1_{1A5EBF5C-0A70-4CA0-8868-532E6B26B3DB}" xr6:coauthVersionLast="47" xr6:coauthVersionMax="47" xr10:uidLastSave="{00000000-0000-0000-0000-000000000000}"/>
  <bookViews>
    <workbookView xWindow="-108" yWindow="-108" windowWidth="23256" windowHeight="12456" tabRatio="698" firstSheet="1" activeTab="10" xr2:uid="{00000000-000D-0000-FFFF-FFFF00000000}"/>
  </bookViews>
  <sheets>
    <sheet name="Предпосылки" sheetId="26" r:id="rId1"/>
    <sheet name="CapEx и аморт." sheetId="54" r:id="rId2"/>
    <sheet name="Календарь" sheetId="59" r:id="rId3"/>
    <sheet name="Цены" sheetId="60" r:id="rId4"/>
    <sheet name="Операции" sheetId="58" r:id="rId5"/>
    <sheet name="НДС" sheetId="62" r:id="rId6"/>
    <sheet name="Кредит" sheetId="57" r:id="rId7"/>
    <sheet name="ФОТ" sheetId="61" r:id="rId8"/>
    <sheet name="ОПиУ" sheetId="43" r:id="rId9"/>
    <sheet name="ПДДС" sheetId="38" r:id="rId10"/>
    <sheet name="ДДП" sheetId="39" r:id="rId11"/>
    <sheet name="Графика" sheetId="55" r:id="rId12"/>
  </sheets>
  <externalReferences>
    <externalReference r:id="rId13"/>
    <externalReference r:id="rId14"/>
    <externalReference r:id="rId15"/>
  </externalReferences>
  <definedNames>
    <definedName name="____________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xlfn.BAHTTEXT" hidden="1">#NAME?</definedName>
    <definedName name="_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xlfn.BAHTTEXT" hidden="1">#NAME?</definedName>
    <definedName name="_ddd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f10" localSheetId="7" hidden="1">{"AnalRSA",#N/A,TRUE,"PL-Anal";"AnalIAS",#N/A,TRUE,"PL-Anal"}</definedName>
    <definedName name="_f10" hidden="1">{"AnalRSA",#N/A,TRUE,"PL-Anal";"AnalIAS",#N/A,TRUE,"PL-Anal"}</definedName>
    <definedName name="_f3" localSheetId="7" hidden="1">{"AnalRSA",#N/A,TRUE,"PL-Anal";"AnalIAS",#N/A,TRUE,"PL-Anal"}</definedName>
    <definedName name="_f3" hidden="1">{"AnalRSA",#N/A,TRUE,"PL-Anal";"AnalIAS",#N/A,TRUE,"PL-Anal"}</definedName>
    <definedName name="_Fill" hidden="1">#REF!</definedName>
    <definedName name="_Order1" hidden="1">0</definedName>
    <definedName name="_Order2" hidden="1">0</definedName>
    <definedName name="aaa" localSheetId="7" hidden="1">{"AnalRSA",#N/A,TRUE,"PL-Anal";"AnalIAS",#N/A,TRUE,"PL-Anal"}</definedName>
    <definedName name="aaa" hidden="1">{"AnalRSA",#N/A,TRUE,"PL-Anal";"AnalIAS",#N/A,TRUE,"PL-Anal"}</definedName>
    <definedName name="AccessDatabase" hidden="1">"C:\Documents and Settings\Stassovsky\My Documents\MF\Current\2001 PROJECT N_1.mdb"</definedName>
    <definedName name="aewrtt" localSheetId="7" hidden="1">{#N/A,#N/A,FALSE,"Лист15"}</definedName>
    <definedName name="aewrtt" hidden="1">{#N/A,#N/A,FALSE,"Лист15"}</definedName>
    <definedName name="aey" localSheetId="7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aey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AS2DocOpenMode" hidden="1">"AS2DocumentEdit"</definedName>
    <definedName name="aw" localSheetId="7" hidden="1">{#N/A,#N/A,FALSE,"Aging Summary";#N/A,#N/A,FALSE,"Ratio Analysis";#N/A,#N/A,FALSE,"Test 120 Day Accts";#N/A,#N/A,FALSE,"Tickmarks"}</definedName>
    <definedName name="aw" hidden="1">{#N/A,#N/A,FALSE,"Aging Summary";#N/A,#N/A,FALSE,"Ratio Analysis";#N/A,#N/A,FALSE,"Test 120 Day Accts";#N/A,#N/A,FALSE,"Tickmarks"}</definedName>
    <definedName name="blbhl" localSheetId="7" hidden="1">{#N/A,#N/A,FALSE,"Лист15"}</definedName>
    <definedName name="blbhl" hidden="1">{#N/A,#N/A,FALSE,"Лист15"}</definedName>
    <definedName name="bpvty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h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" localSheetId="7" hidden="1">{"IASTrail",#N/A,FALSE,"IAS"}</definedName>
    <definedName name="d" hidden="1">{"IASTrail",#N/A,FALSE,"IAS"}</definedName>
    <definedName name="ddd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dfg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hrjutru" localSheetId="7" hidden="1">{#N/A,#N/A,FALSE,"Лист15"}</definedName>
    <definedName name="dfhrjutru" hidden="1">{#N/A,#N/A,FALSE,"Лист15"}</definedName>
    <definedName name="dfy" localSheetId="7" hidden="1">{#N/A,#N/A,FALSE,"Сентябрь";#N/A,#N/A,FALSE,"Пояснительная сентябре 99"}</definedName>
    <definedName name="dfy" hidden="1">{#N/A,#N/A,FALSE,"Сентябрь";#N/A,#N/A,FALSE,"Пояснительная сентябре 99"}</definedName>
    <definedName name="dollar">#REF!</definedName>
    <definedName name="drh" localSheetId="7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dr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dsarfS" localSheetId="7" hidden="1">{#N/A,#N/A,FALSE,"Лист15"}</definedName>
    <definedName name="dsarfS" hidden="1">{#N/A,#N/A,FALSE,"Лист15"}</definedName>
    <definedName name="dujrxtu" localSheetId="7" hidden="1">{#N/A,#N/A,FALSE,"Лист15"}</definedName>
    <definedName name="dujrxtu" hidden="1">{#N/A,#N/A,FALSE,"Лист15"}</definedName>
    <definedName name="duyen" localSheetId="7" hidden="1">{"AnalRSA",#N/A,TRUE,"PL-Anal";"AnalIAS",#N/A,TRUE,"PL-Anal"}</definedName>
    <definedName name="duyen" hidden="1">{"AnalRSA",#N/A,TRUE,"PL-Anal";"AnalIAS",#N/A,TRUE,"PL-Anal"}</definedName>
    <definedName name="dxery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xery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rt" localSheetId="7" hidden="1">{"BS1",#N/A,TRUE,"RSA_FS";"BS2",#N/A,TRUE,"RSA_FS";"BS3",#N/A,TRUE,"RSA_FS"}</definedName>
    <definedName name="ert" hidden="1">{"BS1",#N/A,TRUE,"RSA_FS";"BS2",#N/A,TRUE,"RSA_FS";"BS3",#N/A,TRUE,"RSA_FS"}</definedName>
    <definedName name="eurkzt" localSheetId="6">#REF!</definedName>
    <definedName name="eurkzt">#REF!</definedName>
    <definedName name="eurrur">#REF!</definedName>
    <definedName name="eurusd">#REF!</definedName>
    <definedName name="extn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cguj" localSheetId="7" hidden="1">{"sintesi",#N/A,FALSE,"contrib_unit";"dett_materiali",#N/A,FALSE,"contrib_unit";"dett_lav.ne",#N/A,FALSE,"contrib_unit";"dett_altre_ind.li",#N/A,FALSE,"contrib_unit";"dett_commerciali",#N/A,FALSE,"contrib_unit"}</definedName>
    <definedName name="fcguj" hidden="1">{"sintesi",#N/A,FALSE,"contrib_unit";"dett_materiali",#N/A,FALSE,"contrib_unit";"dett_lav.ne",#N/A,FALSE,"contrib_unit";"dett_altre_ind.li",#N/A,FALSE,"contrib_unit";"dett_commerciali",#N/A,FALSE,"contrib_unit"}</definedName>
    <definedName name="fgh" localSheetId="7" hidden="1">{"IASBS",#N/A,TRUE,"IAS";"IASPL",#N/A,TRUE,"IAS";"IASNotes",#N/A,TRUE,"IAS";"CFDir - expanded",#N/A,TRUE,"CF DIR"}</definedName>
    <definedName name="fgh" hidden="1">{"IASBS",#N/A,TRUE,"IAS";"IASPL",#N/A,TRUE,"IAS";"IASNotes",#N/A,TRUE,"IAS";"CFDir - expanded",#N/A,TRUE,"CF DIR"}</definedName>
    <definedName name="fgj" localSheetId="7" hidden="1">{#N/A,#N/A,TRUE,"MAP";#N/A,#N/A,TRUE,"STEPS";#N/A,#N/A,TRUE,"RULES"}</definedName>
    <definedName name="fgj" hidden="1">{#N/A,#N/A,TRUE,"MAP";#N/A,#N/A,TRUE,"STEPS";#N/A,#N/A,TRUE,"RULES"}</definedName>
    <definedName name="fj" localSheetId="7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fj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fti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t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xgh" localSheetId="7" hidden="1">{"IAS Mapping",#N/A,FALSE,"RSA_FS";#N/A,#N/A,FALSE,"CHECK!";#N/A,#N/A,FALSE,"Recon";#N/A,#N/A,FALSE,"NMG";#N/A,#N/A,FALSE,"Journals";"AnalRSA",#N/A,FALSE,"PL-Anal";"AnalIAS",#N/A,FALSE,"PL-Anal";#N/A,#N/A,FALSE,"COS"}</definedName>
    <definedName name="fxgh" hidden="1">{"IAS Mapping",#N/A,FALSE,"RSA_FS";#N/A,#N/A,FALSE,"CHECK!";#N/A,#N/A,FALSE,"Recon";#N/A,#N/A,FALSE,"NMG";#N/A,#N/A,FALSE,"Journals";"AnalRSA",#N/A,FALSE,"PL-Anal";"AnalIAS",#N/A,FALSE,"PL-Anal";#N/A,#N/A,FALSE,"COS"}</definedName>
    <definedName name="gchkj" localSheetId="7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gchkj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ggki" localSheetId="7" hidden="1">{#N/A,#N/A,FALSE,"Лист15"}</definedName>
    <definedName name="ggki" hidden="1">{#N/A,#N/A,FALSE,"Лист15"}</definedName>
    <definedName name="ghj" localSheetId="7" hidden="1">{"sintesi",#N/A,FALSE,"contrib_unit";"dett_materiali",#N/A,FALSE,"contrib_unit";"dett_lav.ne",#N/A,FALSE,"contrib_unit";"dett_altre_ind.li",#N/A,FALSE,"contrib_unit";"dett_commerciali",#N/A,FALSE,"contrib_unit"}</definedName>
    <definedName name="ghj" hidden="1">{"sintesi",#N/A,FALSE,"contrib_unit";"dett_materiali",#N/A,FALSE,"contrib_unit";"dett_lav.ne",#N/A,FALSE,"contrib_unit";"dett_altre_ind.li",#N/A,FALSE,"contrib_unit";"dett_commerciali",#N/A,FALSE,"contrib_unit"}</definedName>
    <definedName name="ghjg" localSheetId="7" hidden="1">{"AnalRSA",#N/A,TRUE,"PL-Anal";"AnalIAS",#N/A,TRUE,"PL-Anal"}</definedName>
    <definedName name="ghjg" hidden="1">{"AnalRSA",#N/A,TRUE,"PL-Anal";"AnalIAS",#N/A,TRUE,"PL-Anal"}</definedName>
    <definedName name="ghk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hk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hkjk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j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l" localSheetId="7" hidden="1">{#N/A,#N/A,FALSE,"Лист15"}</definedName>
    <definedName name="ghkl" hidden="1">{#N/A,#N/A,FALSE,"Лист15"}</definedName>
    <definedName name="ghu" localSheetId="7" hidden="1">{#N/A,#N/A,FALSE,"Лист15"}</definedName>
    <definedName name="ghu" hidden="1">{#N/A,#N/A,FALSE,"Лист15"}</definedName>
    <definedName name="gkh" localSheetId="7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kh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upiu" localSheetId="7" hidden="1">{#N/A,#N/A,FALSE,"Лист15"}</definedName>
    <definedName name="gupiu" hidden="1">{#N/A,#N/A,FALSE,"Лист15"}</definedName>
    <definedName name="h" localSheetId="7" hidden="1">{#N/A,#N/A,FALSE,"МТВ"}</definedName>
    <definedName name="h" hidden="1">{#N/A,#N/A,FALSE,"МТВ"}</definedName>
    <definedName name="hfcxtn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7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hghg" localSheetId="7" hidden="1">{#N/A,#N/A,FALSE,"Лист15"}</definedName>
    <definedName name="hghghg" hidden="1">{#N/A,#N/A,FALSE,"Лист15"}</definedName>
    <definedName name="hk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guopu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guopu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u" localSheetId="7" hidden="1">{#N/A,#N/A,FALSE,"Лист15"}</definedName>
    <definedName name="iou" hidden="1">{#N/A,#N/A,FALSE,"Лист15"}</definedName>
    <definedName name="Irina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uiuiuo" localSheetId="7" hidden="1">{#N/A,#N/A,FALSE,"Лист15"}</definedName>
    <definedName name="iuiuiuo" hidden="1">{#N/A,#N/A,FALSE,"Лист15"}</definedName>
    <definedName name="jfg" localSheetId="7" hidden="1">{"AnalRSA",#N/A,TRUE,"PL-Anal";"AnalIAS",#N/A,TRUE,"PL-Anal"}</definedName>
    <definedName name="jfg" hidden="1">{"AnalRSA",#N/A,TRUE,"PL-Anal";"AnalIAS",#N/A,TRUE,"PL-Anal"}</definedName>
    <definedName name="jhvlh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hvlh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jj" localSheetId="7" hidden="1">{#N/A,#N/A,FALSE,"Лист15"}</definedName>
    <definedName name="jjj" hidden="1">{#N/A,#N/A,FALSE,"Лист15"}</definedName>
    <definedName name="jkhjh" localSheetId="7" hidden="1">{"sintesi",#N/A,FALSE,"contrib_unit";"dett_materiali",#N/A,FALSE,"contrib_unit";"dett_lav.ne",#N/A,FALSE,"contrib_unit";"dett_altre_ind.li",#N/A,FALSE,"contrib_unit";"dett_commerciali",#N/A,FALSE,"contrib_unit"}</definedName>
    <definedName name="jkhjh" hidden="1">{"sintesi",#N/A,FALSE,"contrib_unit";"dett_materiali",#N/A,FALSE,"contrib_unit";"dett_lav.ne",#N/A,FALSE,"contrib_unit";"dett_altre_ind.li",#N/A,FALSE,"contrib_unit";"dett_commerciali",#N/A,FALSE,"contrib_unit"}</definedName>
    <definedName name="jkl" localSheetId="7" hidden="1">{"IASBS",#N/A,TRUE,"IAS";"IASPL",#N/A,TRUE,"IAS";"IASNotes",#N/A,TRUE,"IAS";"CFDir - expanded",#N/A,TRUE,"CF DIR"}</definedName>
    <definedName name="jkl" hidden="1">{"IASBS",#N/A,TRUE,"IAS";"IASPL",#N/A,TRUE,"IAS";"IASNotes",#N/A,TRUE,"IAS";"CFDir - expanded",#N/A,TRUE,"CF DIR"}</definedName>
    <definedName name="jkljkl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ljkl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luo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lu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ny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 localSheetId="7" hidden="1">{"AnalRSA",#N/A,TRUE,"PL-Anal";"AnalIAS",#N/A,TRUE,"PL-Anal"}</definedName>
    <definedName name="k" hidden="1">{"AnalRSA",#N/A,TRUE,"PL-Anal";"AnalIAS",#N/A,TRUE,"PL-Anal"}</definedName>
    <definedName name="kjnhk" localSheetId="7" hidden="1">{#N/A,#N/A,FALSE,"Лист15"}</definedName>
    <definedName name="kjnhk" hidden="1">{#N/A,#N/A,FALSE,"Лист15"}</definedName>
    <definedName name="klkl" localSheetId="7" hidden="1">{#N/A,#N/A,FALSE,"Лист15"}</definedName>
    <definedName name="klkl" hidden="1">{#N/A,#N/A,FALSE,"Лист15"}</definedName>
    <definedName name="L" localSheetId="7" hidden="1">{#N/A,#N/A,FALSE,"Лист15"}</definedName>
    <definedName name="L" hidden="1">{#N/A,#N/A,FALSE,"Лист15"}</definedName>
    <definedName name="lkh" localSheetId="7" hidden="1">{#N/A,#N/A,FALSE,"Лист15"}</definedName>
    <definedName name="lkh" hidden="1">{#N/A,#N/A,FALSE,"Лист15"}</definedName>
    <definedName name="lkoj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lkoj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loj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o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oyu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oyu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aa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kh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k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njlkkl" localSheetId="7" hidden="1">{#N/A,#N/A,FALSE,"Лист15"}</definedName>
    <definedName name="nnjlkkl" hidden="1">{#N/A,#N/A,FALSE,"Лист15"}</definedName>
    <definedName name="Params_VALUE" hidden="1">#REF!</definedName>
    <definedName name="qr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ty">#REF!</definedName>
    <definedName name="rjhjdf" localSheetId="7" hidden="1">{#N/A,#N/A,FALSE,"МТВ"}</definedName>
    <definedName name="rjhjdf" hidden="1">{#N/A,#N/A,FALSE,"МТВ"}</definedName>
    <definedName name="rtu" localSheetId="7" hidden="1">{#N/A,#N/A,FALSE,"МТВ"}</definedName>
    <definedName name="rtu" hidden="1">{#N/A,#N/A,FALSE,"МТВ"}</definedName>
    <definedName name="ruuy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uu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localSheetId="7" hidden="1">{#N/A,#N/A,FALSE,"МТВ"}</definedName>
    <definedName name="rw" hidden="1">{#N/A,#N/A,FALSE,"МТВ"}</definedName>
    <definedName name="rxutgh" localSheetId="7" hidden="1">{#N/A,#N/A,FALSE,"Лист15"}</definedName>
    <definedName name="rxutgh" hidden="1">{#N/A,#N/A,FALSE,"Лист15"}</definedName>
    <definedName name="rye" localSheetId="7" hidden="1">{#N/A,#N/A,FALSE,"Лист15"}</definedName>
    <definedName name="rye" hidden="1">{#N/A,#N/A,FALSE,"Лист15"}</definedName>
    <definedName name="safr" localSheetId="7" hidden="1">{#N/A,#N/A,FALSE,"Лист15"}</definedName>
    <definedName name="safr" hidden="1">{#N/A,#N/A,FALSE,"Лист15"}</definedName>
    <definedName name="salary" localSheetId="7" hidden="1">{"AnalRSA",#N/A,TRUE,"PL-Anal";"AnalIAS",#N/A,TRUE,"PL-Anal"}</definedName>
    <definedName name="salary" hidden="1">{"AnalRSA",#N/A,TRUE,"PL-Anal";"AnalIAS",#N/A,TRUE,"PL-Anal"}</definedName>
    <definedName name="ser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e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ize" localSheetId="7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size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230</definedName>
    <definedName name="Source">#REF!</definedName>
    <definedName name="sru" localSheetId="7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sru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su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u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zet" localSheetId="7" hidden="1">{"IASTrail",#N/A,FALSE,"IAS"}</definedName>
    <definedName name="szet" hidden="1">{"IASTrail",#N/A,FALSE,"IAS"}</definedName>
    <definedName name="TD" localSheetId="7" hidden="1">{"IASBS",#N/A,TRUE,"IAS";"IASPL",#N/A,TRUE,"IAS";"IASNotes",#N/A,TRUE,"IAS";"CFDir - expanded",#N/A,TRUE,"CF DIR"}</definedName>
    <definedName name="TD" hidden="1">{"IASBS",#N/A,TRUE,"IAS";"IASPL",#N/A,TRUE,"IAS";"IASNotes",#N/A,TRUE,"IAS";"CFDir - expanded",#N/A,TRUE,"CF DIR"}</definedName>
    <definedName name="test2" localSheetId="7" hidden="1">{"IASTrail",#N/A,FALSE,"IAS"}</definedName>
    <definedName name="test2" hidden="1">{"IASTrail",#N/A,FALSE,"IAS"}</definedName>
    <definedName name="trs" localSheetId="7" hidden="1">{#N/A,#N/A,FALSE,"Лист15"}</definedName>
    <definedName name="trs" hidden="1">{#N/A,#N/A,FALSE,"Лист15"}</definedName>
    <definedName name="tyu" localSheetId="7" hidden="1">{#N/A,#N/A,FALSE,"Лист15"}</definedName>
    <definedName name="tyu" hidden="1">{#N/A,#N/A,FALSE,"Лист15"}</definedName>
    <definedName name="ur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sd">#REF!</definedName>
    <definedName name="usdkzt" localSheetId="6">#REF!</definedName>
    <definedName name="usdkzt">#REF!</definedName>
    <definedName name="vgkh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gkh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n" localSheetId="7" hidden="1">{"IAS Mapping",#N/A,TRUE,"RSA_FS"}</definedName>
    <definedName name="vn" hidden="1">{"IAS Mapping",#N/A,TRUE,"RSA_FS"}</definedName>
    <definedName name="wa" localSheetId="7" hidden="1">{#N/A,#N/A,FALSE,"Sheet2";#N/A,#N/A,FALSE,"Sheet3";#N/A,#N/A,FALSE,"Sheet4";#N/A,#N/A,FALSE,"Sheet5";#N/A,#N/A,FALSE,"Sheet7";#N/A,#N/A,FALSE,"Sheet8";#N/A,#N/A,FALSE,"Sheet9";#N/A,#N/A,FALSE,"Sheet10";#N/A,#N/A,FALSE,"Sheet11"}</definedName>
    <definedName name="wa" hidden="1">{#N/A,#N/A,FALSE,"Sheet2";#N/A,#N/A,FALSE,"Sheet3";#N/A,#N/A,FALSE,"Sheet4";#N/A,#N/A,FALSE,"Sheet5";#N/A,#N/A,FALSE,"Sheet7";#N/A,#N/A,FALSE,"Sheet8";#N/A,#N/A,FALSE,"Sheet9";#N/A,#N/A,FALSE,"Sheet10";#N/A,#N/A,FALSE,"Sheet11"}</definedName>
    <definedName name="wet" localSheetId="7" hidden="1">{#N/A,#N/A,FALSE,"Лист15"}</definedName>
    <definedName name="wet" hidden="1">{#N/A,#N/A,FALSE,"Лист15"}</definedName>
    <definedName name="wr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rn.4._.п." localSheetId="7" hidden="1">{#N/A,#N/A,FALSE,"Sheet2";#N/A,#N/A,FALSE,"Sheet3";#N/A,#N/A,FALSE,"Sheet4";#N/A,#N/A,FALSE,"Sheet5";#N/A,#N/A,FALSE,"Sheet7";#N/A,#N/A,FALSE,"Sheet8";#N/A,#N/A,FALSE,"Sheet9";#N/A,#N/A,FALSE,"Sheet10";#N/A,#N/A,FALSE,"Sheet11"}</definedName>
    <definedName name="wrn.4._.п." hidden="1">{#N/A,#N/A,FALSE,"Sheet2";#N/A,#N/A,FALSE,"Sheet3";#N/A,#N/A,FALSE,"Sheet4";#N/A,#N/A,FALSE,"Sheet5";#N/A,#N/A,FALSE,"Sheet7";#N/A,#N/A,FALSE,"Sheet8";#N/A,#N/A,FALSE,"Sheet9";#N/A,#N/A,FALSE,"Sheet10";#N/A,#N/A,FALSE,"Sheet11"}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7" hidden="1">{"IASTrail",#N/A,FALSE,"IAS"}</definedName>
    <definedName name="wrn.Coded._.IAS._.FS." hidden="1">{"IASTrail",#N/A,FALSE,"IAS"}</definedName>
    <definedName name="wrn.Fixed._.Assets._.Note._.and._.Depreciation." localSheetId="7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7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7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7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7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7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7" hidden="1">{"IAS Mapping",#N/A,TRUE,"RSA_FS"}</definedName>
    <definedName name="wrn.IAS._.Mapping." hidden="1">{"IAS Mapping",#N/A,TRUE,"RSA_FS"}</definedName>
    <definedName name="wrn.Inflation._.factors._.used." localSheetId="7" hidden="1">{#N/A,#N/A,FALSE,"Infl_fact"}</definedName>
    <definedName name="wrn.Inflation._.factors._.used." hidden="1">{#N/A,#N/A,FALSE,"Infl_fact"}</definedName>
    <definedName name="wrn.kumkol." localSheetId="7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PL._.Analysis." localSheetId="7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7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SE." localSheetId="7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wrn.SE.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wrn.TOTALE." localSheetId="7" hidden="1">{"sintesi",#N/A,FALSE,"contrib_unit";"dett_materiali",#N/A,FALSE,"contrib_unit";"dett_lav.ne",#N/A,FALSE,"contrib_unit";"dett_altre_ind.li",#N/A,FALSE,"contrib_unit";"dett_commerciali",#N/A,FALSE,"contrib_unit"}</definedName>
    <definedName name="wrn.TOTALE." hidden="1">{"sintesi",#N/A,FALSE,"contrib_unit";"dett_materiali",#N/A,FALSE,"contrib_unit";"dett_lav.ne",#N/A,FALSE,"contrib_unit";"dett_altre_ind.li",#N/A,FALSE,"contrib_unit";"dett_commerciali",#N/A,FALSE,"contrib_unit"}</definedName>
    <definedName name="wrn.апрель.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Исполнение._.сметы._.затрат." localSheetId="7" hidden="1">{#N/A,#N/A,FALSE,"Лист15"}</definedName>
    <definedName name="wrn.Исполнение._.сметы._.затрат." hidden="1">{#N/A,#N/A,FALSE,"Лист15"}</definedName>
    <definedName name="wrn.Исполнение._.смкты._.затарат." localSheetId="7" hidden="1">{#N/A,#N/A,FALSE,"Лист15"}</definedName>
    <definedName name="wrn.Исполнение._.смкты._.затарат." hidden="1">{#N/A,#N/A,FALSE,"Лист15"}</definedName>
    <definedName name="wrn.ку." localSheetId="7" hidden="1">{#N/A,#N/A,TRUE,"Лист2"}</definedName>
    <definedName name="wrn.ку." hidden="1">{#N/A,#N/A,TRUE,"Лист2"}</definedName>
    <definedName name="wrn.Модель._.Интенсивника." localSheetId="7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localSheetId="7" hidden="1">{"Страница 1",#N/A,FALSE,"Модель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танд." localSheetId="7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ФП_КМК." localSheetId="7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xfh" localSheetId="7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xfh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yae" localSheetId="7" hidden="1">{#N/A,#N/A,FALSE,"Infl_fact"}</definedName>
    <definedName name="yae" hidden="1">{#N/A,#N/A,FALSE,"Infl_fact"}</definedName>
    <definedName name="yitiu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itiu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r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dt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yudt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yufi" localSheetId="7" hidden="1">{#N/A,#N/A,FALSE,"МТВ"}</definedName>
    <definedName name="yufi" hidden="1">{#N/A,#N/A,FALSE,"МТВ"}</definedName>
    <definedName name="yui" localSheetId="7" hidden="1">{"sintesi",#N/A,FALSE,"contrib_unit";"dett_materiali",#N/A,FALSE,"contrib_unit";"dett_lav.ne",#N/A,FALSE,"contrib_unit";"dett_altre_ind.li",#N/A,FALSE,"contrib_unit";"dett_commerciali",#N/A,FALSE,"contrib_unit"}</definedName>
    <definedName name="yui" hidden="1">{"sintesi",#N/A,FALSE,"contrib_unit";"dett_materiali",#N/A,FALSE,"contrib_unit";"dett_lav.ne",#N/A,FALSE,"contrib_unit";"dett_altre_ind.li",#N/A,FALSE,"contrib_unit";"dett_commerciali",#N/A,FALSE,"contrib_unit"}</definedName>
    <definedName name="Z_0AABF412_F7D5_4BB1_B12B_7B40F8B9C95D_.wvu.Cols" hidden="1">#REF!</definedName>
    <definedName name="Z_0AABF412_F7D5_4BB1_B12B_7B40F8B9C95D_.wvu.FilterData" hidden="1">#REF!</definedName>
    <definedName name="Z_0AABF412_F7D5_4BB1_B12B_7B40F8B9C95D_.wvu.PrintArea" hidden="1">#REF!</definedName>
    <definedName name="Z_0AABF412_F7D5_4BB1_B12B_7B40F8B9C95D_.wvu.PrintTitles" hidden="1">#REF!</definedName>
    <definedName name="Z_0AABF412_F7D5_4BB1_B12B_7B40F8B9C95D_.wvu.Rows" hidden="1">#REF!</definedName>
    <definedName name="Z_0DD4EB58_0647_11D5_A6F7_00508B654A95_.wvu.Cols" localSheetId="7" hidden="1">#REF!,#REF!,#REF!,#REF!,#REF!</definedName>
    <definedName name="Z_0DD4EB58_0647_11D5_A6F7_00508B654A95_.wvu.Cols" hidden="1">#REF!,#REF!,#REF!,#REF!,#REF!</definedName>
    <definedName name="Z_10435A81_C305_11D5_A6F8_009027BEE0E0_.wvu.Cols" localSheetId="7" hidden="1">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localSheetId="7" hidden="1">#REF!,#REF!</definedName>
    <definedName name="Z_10435A81_C305_11D5_A6F8_009027BEE0E0_.wvu.Rows" hidden="1">#REF!,#REF!</definedName>
    <definedName name="Z_270BB401_5236_11D4_BB54_0050044E0CFA_.wvu.Cols" localSheetId="7" hidden="1">#REF!,#REF!,#REF!,#REF!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localSheetId="7" hidden="1">#REF!,#REF!,#REF!,#REF!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localSheetId="7" hidden="1">#REF!,#REF!,#REF!,#REF!,#REF!,#REF!,#REF!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df" localSheetId="7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zdf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zdg" localSheetId="7" hidden="1">{#N/A,#N/A,FALSE,"FA_1";#N/A,#N/A,FALSE,"Dep'n SE";#N/A,#N/A,FALSE,"Dep'n FC"}</definedName>
    <definedName name="zdg" hidden="1">{#N/A,#N/A,FALSE,"FA_1";#N/A,#N/A,FALSE,"Dep'n SE";#N/A,#N/A,FALSE,"Dep'n FC"}</definedName>
    <definedName name="zse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s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xzxz" localSheetId="7" hidden="1">{#N/A,#N/A,FALSE,"Лист15"}</definedName>
    <definedName name="zxzxz" hidden="1">{#N/A,#N/A,FALSE,"Лист15"}</definedName>
    <definedName name="аб" localSheetId="7" hidden="1">{#N/A,#N/A,FALSE,"Лист15"}</definedName>
    <definedName name="аб" hidden="1">{#N/A,#N/A,FALSE,"Лист15"}</definedName>
    <definedName name="авир" localSheetId="7" hidden="1">{#N/A,#N/A,FALSE,"МТВ"}</definedName>
    <definedName name="авир" hidden="1">{#N/A,#N/A,FALSE,"МТВ"}</definedName>
    <definedName name="авпа" localSheetId="7" hidden="1">#REF!,#REF!,#REF!,#REF!</definedName>
    <definedName name="авпа" hidden="1">#REF!,#REF!,#REF!,#REF!</definedName>
    <definedName name="авпчвы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впчвы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вр" localSheetId="7" hidden="1">{#N/A,#N/A,FALSE,"Sheet2";#N/A,#N/A,FALSE,"Sheet3";#N/A,#N/A,FALSE,"Sheet4";#N/A,#N/A,FALSE,"Sheet5";#N/A,#N/A,FALSE,"Sheet7";#N/A,#N/A,FALSE,"Sheet8";#N/A,#N/A,FALSE,"Sheet9";#N/A,#N/A,FALSE,"Sheet10";#N/A,#N/A,FALSE,"Sheet11"}</definedName>
    <definedName name="авр" hidden="1">{#N/A,#N/A,FALSE,"Sheet2";#N/A,#N/A,FALSE,"Sheet3";#N/A,#N/A,FALSE,"Sheet4";#N/A,#N/A,FALSE,"Sheet5";#N/A,#N/A,FALSE,"Sheet7";#N/A,#N/A,FALSE,"Sheet8";#N/A,#N/A,FALSE,"Sheet9";#N/A,#N/A,FALSE,"Sheet10";#N/A,#N/A,FALSE,"Sheet11"}</definedName>
    <definedName name="авыав" localSheetId="7" hidden="1">{"Страница 1",#N/A,FALSE,"Модель Интенсивника";"Страница 3",#N/A,FALSE,"Модель Интенсивника"}</definedName>
    <definedName name="авыав" hidden="1">{"Страница 1",#N/A,FALSE,"Модель Интенсивника";"Страница 3",#N/A,FALSE,"Модель Интенсивника"}</definedName>
    <definedName name="авып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ьфа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морт">#REF!</definedName>
    <definedName name="анализ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дрей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реалорпио" localSheetId="7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аореалорпио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ап" localSheetId="7" hidden="1">{#N/A,#N/A,FALSE,"Лист15"}</definedName>
    <definedName name="ап" hidden="1">{#N/A,#N/A,FALSE,"Лист15"}</definedName>
    <definedName name="апвв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пвв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по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по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прель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ро" localSheetId="7" hidden="1">{#N/A,#N/A,FALSE,"Лист15"}</definedName>
    <definedName name="апрро" hidden="1">{#N/A,#N/A,FALSE,"Лист15"}</definedName>
    <definedName name="апыми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истон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оро" localSheetId="7" hidden="1">{#N/A,#N/A,FALSE,"МТВ"}</definedName>
    <definedName name="ароро" hidden="1">{#N/A,#N/A,FALSE,"МТВ"}</definedName>
    <definedName name="АСА" localSheetId="7" hidden="1">{#N/A,#N/A,FALSE,"Лист15"}</definedName>
    <definedName name="АСА" hidden="1">{#N/A,#N/A,FALSE,"Лист15"}</definedName>
    <definedName name="аса1" localSheetId="7" hidden="1">{#N/A,#N/A,FALSE,"Лист15"}</definedName>
    <definedName name="аса1" hidden="1">{#N/A,#N/A,FALSE,"Лист15"}</definedName>
    <definedName name="аср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ср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срар" localSheetId="7" hidden="1">{#N/A,#N/A,FALSE,"Лист15"}</definedName>
    <definedName name="асрар" hidden="1">{#N/A,#N/A,FALSE,"Лист15"}</definedName>
    <definedName name="ассв" localSheetId="7" hidden="1">{#N/A,#N/A,FALSE,"Лист15"}</definedName>
    <definedName name="ассв" hidden="1">{#N/A,#N/A,FALSE,"Лист15"}</definedName>
    <definedName name="АТЦ" localSheetId="7" hidden="1">{#N/A,#N/A,FALSE,"Лист15"}</definedName>
    <definedName name="АТЦ" hidden="1">{#N/A,#N/A,FALSE,"Лист15"}</definedName>
    <definedName name="ббб" localSheetId="7" hidden="1">{"AnalRSA",#N/A,TRUE,"PL-Anal";"AnalIAS",#N/A,TRUE,"PL-Anal"}</definedName>
    <definedName name="ббб" hidden="1">{"AnalRSA",#N/A,TRUE,"PL-Anal";"AnalIAS",#N/A,TRUE,"PL-Anal"}</definedName>
    <definedName name="вам" localSheetId="7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ам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ап" localSheetId="7" hidden="1">{"AnalRSA",#N/A,TRUE,"PL-Anal";"AnalIAS",#N/A,TRUE,"PL-Anal"}</definedName>
    <definedName name="вап" hidden="1">{"AnalRSA",#N/A,TRUE,"PL-Anal";"AnalIAS",#N/A,TRUE,"PL-Anal"}</definedName>
    <definedName name="вапке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п" localSheetId="7" hidden="1">{"IAS Mapping",#N/A,FALSE,"RSA_FS";#N/A,#N/A,FALSE,"CHECK!";#N/A,#N/A,FALSE,"Recon";#N/A,#N/A,FALSE,"NMG";#N/A,#N/A,FALSE,"Journals";"AnalRSA",#N/A,FALSE,"PL-Anal";"AnalIAS",#N/A,FALSE,"PL-Anal";#N/A,#N/A,FALSE,"COS"}</definedName>
    <definedName name="вапп" hidden="1">{"IAS Mapping",#N/A,FALSE,"RSA_FS";#N/A,#N/A,FALSE,"CHECK!";#N/A,#N/A,FALSE,"Recon";#N/A,#N/A,FALSE,"NMG";#N/A,#N/A,FALSE,"Journals";"AnalRSA",#N/A,FALSE,"PL-Anal";"AnalIAS",#N/A,FALSE,"PL-Anal";#N/A,#N/A,FALSE,"COS"}</definedName>
    <definedName name="вар" localSheetId="7" hidden="1">{#N/A,#N/A,FALSE,"МТВ"}</definedName>
    <definedName name="вар" hidden="1">{#N/A,#N/A,FALSE,"МТВ"}</definedName>
    <definedName name="вариант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н" localSheetId="7" hidden="1">{"AnalRSA",#N/A,TRUE,"PL-Anal";"AnalIAS",#N/A,TRUE,"PL-Anal"}</definedName>
    <definedName name="варн" hidden="1">{"AnalRSA",#N/A,TRUE,"PL-Anal";"AnalIAS",#N/A,TRUE,"PL-Anal"}</definedName>
    <definedName name="варолр" localSheetId="7" hidden="1">{#N/A,#N/A,FALSE,"Лист15"}</definedName>
    <definedName name="варолр" hidden="1">{#N/A,#N/A,FALSE,"Лист15"}</definedName>
    <definedName name="ваып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ып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в" localSheetId="7" hidden="1">{#N/A,#N/A,FALSE,"Лист15"}</definedName>
    <definedName name="ввв" hidden="1">{#N/A,#N/A,FALSE,"Лист15"}</definedName>
    <definedName name="ввввв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ерсия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кнук" localSheetId="7" hidden="1">{"IASTrail",#N/A,FALSE,"IAS"}</definedName>
    <definedName name="вкнук" hidden="1">{"IASTrail",#N/A,FALSE,"IAS"}</definedName>
    <definedName name="вор" localSheetId="7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еыуе" localSheetId="7" hidden="1">{#N/A,#N/A,FALSE,"Лист15"}</definedName>
    <definedName name="впеыуе" hidden="1">{#N/A,#N/A,FALSE,"Лист15"}</definedName>
    <definedName name="ВР" localSheetId="7" hidden="1">#REF!,#REF!,#REF!,#REF!</definedName>
    <definedName name="ВР" hidden="1">#REF!,#REF!,#REF!,#REF!</definedName>
    <definedName name="всп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сп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ыава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ыав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ып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ып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ыпеу" localSheetId="7" hidden="1">{#N/A,#N/A,TRUE,"MAP";#N/A,#N/A,TRUE,"STEPS";#N/A,#N/A,TRUE,"RULES"}</definedName>
    <definedName name="выпеу" hidden="1">{#N/A,#N/A,TRUE,"MAP";#N/A,#N/A,TRUE,"STEPS";#N/A,#N/A,TRUE,"RULES"}</definedName>
    <definedName name="выу" localSheetId="7" hidden="1">{#N/A,#N/A,FALSE,"Лист15"}</definedName>
    <definedName name="выу" hidden="1">{#N/A,#N/A,FALSE,"Лист15"}</definedName>
    <definedName name="выы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ыы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гараж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енплан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род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а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см" localSheetId="7" hidden="1">{#N/A,#N/A,FALSE,"Лист15"}</definedName>
    <definedName name="гсм" hidden="1">{#N/A,#N/A,FALSE,"Лист15"}</definedName>
    <definedName name="да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таСтарт" localSheetId="6">#REF!</definedName>
    <definedName name="ДатаСтарт">#REF!</definedName>
    <definedName name="де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тсад" localSheetId="7" hidden="1">{#N/A,#N/A,FALSE,"Лист15"}</definedName>
    <definedName name="детсад" hidden="1">{#N/A,#N/A,FALSE,"Лист15"}</definedName>
    <definedName name="Деятельность">#REF!</definedName>
    <definedName name="Диагр" localSheetId="7" hidden="1">{#N/A,#N/A,FALSE,"Лист15"}</definedName>
    <definedName name="Диагр" hidden="1">{#N/A,#N/A,FALSE,"Лист15"}</definedName>
    <definedName name="дисконт">#REF!</definedName>
    <definedName name="длоо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ох" localSheetId="7" hidden="1">{#N/A,#N/A,FALSE,"Лист15"}</definedName>
    <definedName name="дох" hidden="1">{#N/A,#N/A,FALSE,"Лист15"}</definedName>
    <definedName name="доходы" localSheetId="7" hidden="1">{#N/A,#N/A,FALSE,"Лист15"}</definedName>
    <definedName name="доходы" hidden="1">{#N/A,#N/A,FALSE,"Лист15"}</definedName>
    <definedName name="дурак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эд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эд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е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внг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евн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екнг" localSheetId="7" hidden="1">{#N/A,#N/A,FALSE,"Лист15"}</definedName>
    <definedName name="екнг" hidden="1">{#N/A,#N/A,FALSE,"Лист15"}</definedName>
    <definedName name="еп" localSheetId="7" hidden="1">{#N/A,#N/A,FALSE,"Лист15"}</definedName>
    <definedName name="еп" hidden="1">{#N/A,#N/A,FALSE,"Лист15"}</definedName>
    <definedName name="женя" localSheetId="7" hidden="1">{#N/A,#N/A,FALSE,"Лист15"}</definedName>
    <definedName name="женя" hidden="1">{#N/A,#N/A,FALSE,"Лист15"}</definedName>
    <definedName name="жопа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апасы1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га">#REF!</definedName>
    <definedName name="земн">#REF!</definedName>
    <definedName name="зззз" localSheetId="7" hidden="1">{#N/A,#N/A,FALSE,"Лист15"}</definedName>
    <definedName name="зззз" hidden="1">{#N/A,#N/A,FALSE,"Лист15"}</definedName>
    <definedName name="зп" localSheetId="7" hidden="1">{#N/A,#N/A,FALSE,"Лист15"}</definedName>
    <definedName name="зп" hidden="1">{#N/A,#N/A,FALSE,"Лист15"}</definedName>
    <definedName name="изменения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мущн" localSheetId="6">#REF!</definedName>
    <definedName name="имущн">#REF!</definedName>
    <definedName name="инфл">#REF!</definedName>
    <definedName name="ИРА" localSheetId="7" hidden="1">{#N/A,#N/A,FALSE,"Лист15"}</definedName>
    <definedName name="ИРА" hidden="1">{#N/A,#N/A,FALSE,"Лист15"}</definedName>
    <definedName name="ира25" localSheetId="7" hidden="1">{#N/A,#N/A,FALSE,"Лист15"}</definedName>
    <definedName name="ира25" hidden="1">{#N/A,#N/A,FALSE,"Лист15"}</definedName>
    <definedName name="ирана159" localSheetId="7" hidden="1">{#N/A,#N/A,FALSE,"Лист15"}</definedName>
    <definedName name="ирана159" hidden="1">{#N/A,#N/A,FALSE,"Лист15"}</definedName>
    <definedName name="ирина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одро" localSheetId="7" hidden="1">{#N/A,#N/A,FALSE,"Лист15"}</definedName>
    <definedName name="иродро" hidden="1">{#N/A,#N/A,FALSE,"Лист15"}</definedName>
    <definedName name="иролб" localSheetId="7" hidden="1">{#N/A,#N/A,FALSE,"Лист15"}</definedName>
    <definedName name="иролб" hidden="1">{#N/A,#N/A,FALSE,"Лист15"}</definedName>
    <definedName name="иряв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справление" localSheetId="7" hidden="1">{#N/A,#N/A,FALSE,"Лист15"}</definedName>
    <definedName name="исправление" hidden="1">{#N/A,#N/A,FALSE,"Лист15"}</definedName>
    <definedName name="Итог3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" localSheetId="7" hidden="1">{#N/A,#N/A,FALSE,"Лист15"}</definedName>
    <definedName name="йй" hidden="1">{#N/A,#N/A,FALSE,"Лист15"}</definedName>
    <definedName name="ййй" localSheetId="7" hidden="1">{#N/A,#N/A,FALSE,"Лист15"}</definedName>
    <definedName name="ййй" hidden="1">{#N/A,#N/A,FALSE,"Лист15"}</definedName>
    <definedName name="Казтрансойл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р" localSheetId="7" hidden="1">{"IAS Mapping",#N/A,TRUE,"RSA_FS"}</definedName>
    <definedName name="кар" hidden="1">{"IAS Mapping",#N/A,TRUE,"RSA_FS"}</definedName>
    <definedName name="кареи5" localSheetId="7" hidden="1">{#N/A,#N/A,FALSE,"Лист15"}</definedName>
    <definedName name="кареи5" hidden="1">{#N/A,#N/A,FALSE,"Лист15"}</definedName>
    <definedName name="комбан" localSheetId="6">#REF!</definedName>
    <definedName name="комбан">#REF!</definedName>
    <definedName name="комусл">#REF!</definedName>
    <definedName name="конечн.таблица" localSheetId="7" hidden="1">{#N/A,#N/A,FALSE,"Лист15"}</definedName>
    <definedName name="конечн.таблица" hidden="1">{#N/A,#N/A,FALSE,"Лист15"}</definedName>
    <definedName name="копия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пн" localSheetId="6">#REF!</definedName>
    <definedName name="кпн">#REF!</definedName>
    <definedName name="л" localSheetId="7" hidden="1">#REF!</definedName>
    <definedName name="л" hidden="1">#REF!</definedName>
    <definedName name="лд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д" localSheetId="7" hidden="1">{"IASBS",#N/A,TRUE,"IAS";"IASPL",#N/A,TRUE,"IAS";"IASNotes",#N/A,TRUE,"IAS";"CFDir - expanded",#N/A,TRUE,"CF DIR"}</definedName>
    <definedName name="лод" hidden="1">{"IASBS",#N/A,TRUE,"IAS";"IASPL",#N/A,TRUE,"IAS";"IASNotes",#N/A,TRUE,"IAS";"CFDir - expanded",#N/A,TRUE,"CF DIR"}</definedName>
    <definedName name="лпрор" localSheetId="7" hidden="1">{#N/A,#N/A,FALSE,"Лист15"}</definedName>
    <definedName name="лпрор" hidden="1">{#N/A,#N/A,FALSE,"Лист15"}</definedName>
    <definedName name="лщш" localSheetId="7" hidden="1">{#N/A,#N/A,FALSE,"Лист15"}</definedName>
    <definedName name="лщш" hidden="1">{#N/A,#N/A,FALSE,"Лист15"}</definedName>
    <definedName name="льготпер" localSheetId="6">#REF!</definedName>
    <definedName name="льготпер">#REF!</definedName>
    <definedName name="льп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юдмила" localSheetId="7" hidden="1">{#N/A,#N/A,FALSE,"Лист15"}</definedName>
    <definedName name="людмила" hidden="1">{#N/A,#N/A,FALSE,"Лист15"}</definedName>
    <definedName name="маркетинг">#REF!</definedName>
    <definedName name="мат." localSheetId="7" hidden="1">{#N/A,#N/A,FALSE,"Лист15"}</definedName>
    <definedName name="мат." hidden="1">{#N/A,#N/A,FALSE,"Лист15"}</definedName>
    <definedName name="мат.14дек" localSheetId="7" hidden="1">{#N/A,#N/A,FALSE,"Лист15"}</definedName>
    <definedName name="мат.14дек" hidden="1">{#N/A,#N/A,FALSE,"Лист15"}</definedName>
    <definedName name="маша" localSheetId="7" hidden="1">{#N/A,#N/A,FALSE,"Лист15"}</definedName>
    <definedName name="маша" hidden="1">{#N/A,#N/A,FALSE,"Лист15"}</definedName>
    <definedName name="МЗП">#REF!</definedName>
    <definedName name="мирлрпл" localSheetId="7" hidden="1">{#N/A,#N/A,FALSE,"Лист15"}</definedName>
    <definedName name="мирлрпл" hidden="1">{#N/A,#N/A,FALSE,"Лист15"}</definedName>
    <definedName name="мит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попро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мпопро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мптмтоо" localSheetId="7" hidden="1">{#N/A,#N/A,FALSE,"Лист15"}</definedName>
    <definedName name="мптмтоо" hidden="1">{#N/A,#N/A,FALSE,"Лист15"}</definedName>
    <definedName name="МРП">#REF!</definedName>
    <definedName name="на" localSheetId="7" hidden="1">{#N/A,#N/A,FALSE,"Лист15"}</definedName>
    <definedName name="на" hidden="1">{#N/A,#N/A,FALSE,"Лист15"}</definedName>
    <definedName name="нат" localSheetId="7" hidden="1">{#N/A,#N/A,FALSE,"Лист15"}</definedName>
    <definedName name="нат" hidden="1">{#N/A,#N/A,FALSE,"Лист15"}</definedName>
    <definedName name="наташа" localSheetId="7" hidden="1">{#N/A,#N/A,FALSE,"Лист15"}</definedName>
    <definedName name="наташа" hidden="1">{#N/A,#N/A,FALSE,"Лист15"}</definedName>
    <definedName name="ндс" localSheetId="6">#REF!</definedName>
    <definedName name="ндс">#REF!</definedName>
    <definedName name="некыр" localSheetId="7" hidden="1">{"AnalRSA",#N/A,TRUE,"PL-Anal";"AnalIAS",#N/A,TRUE,"PL-Anal"}</definedName>
    <definedName name="некыр" hidden="1">{"AnalRSA",#N/A,TRUE,"PL-Anal";"AnalIAS",#N/A,TRUE,"PL-Anal"}</definedName>
    <definedName name="непнен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т" localSheetId="7" hidden="1">{#N/A,#N/A,FALSE,"Лист15"}</definedName>
    <definedName name="нет" hidden="1">{#N/A,#N/A,FALSE,"Лист15"}</definedName>
    <definedName name="НИ">#REF!</definedName>
    <definedName name="нне" localSheetId="7" hidden="1">{"sintesi",#N/A,FALSE,"contrib_unit";"dett_materiali",#N/A,FALSE,"contrib_unit";"dett_lav.ne",#N/A,FALSE,"contrib_unit";"dett_altre_ind.li",#N/A,FALSE,"contrib_unit";"dett_commerciali",#N/A,FALSE,"contrib_unit"}</definedName>
    <definedName name="нне" hidden="1">{"sintesi",#N/A,FALSE,"contrib_unit";"dett_materiali",#N/A,FALSE,"contrib_unit";"dett_lav.ne",#N/A,FALSE,"contrib_unit";"dett_altre_ind.li",#N/A,FALSE,"contrib_unit";"dett_commerciali",#N/A,FALSE,"contrib_unit"}</definedName>
    <definedName name="нпм" localSheetId="7" hidden="1">{#N/A,#N/A,FALSE,"Лист15"}</definedName>
    <definedName name="нпм" hidden="1">{#N/A,#N/A,FALSE,"Лист15"}</definedName>
    <definedName name="нр" localSheetId="7" hidden="1">{#N/A,#N/A,FALSE,"Лист15"}</definedName>
    <definedName name="нр" hidden="1">{#N/A,#N/A,FALSE,"Лист15"}</definedName>
    <definedName name="НЭ">#REF!</definedName>
    <definedName name="общие" localSheetId="7" hidden="1">{#N/A,#N/A,FALSE,"Лист15"}</definedName>
    <definedName name="общие" hidden="1">{#N/A,#N/A,FALSE,"Лист15"}</definedName>
    <definedName name="ОгурецКор">#REF!</definedName>
    <definedName name="огщш" localSheetId="7" hidden="1">{"sintesi",#N/A,FALSE,"contrib_unit";"dett_materiali",#N/A,FALSE,"contrib_unit";"dett_lav.ne",#N/A,FALSE,"contrib_unit";"dett_altre_ind.li",#N/A,FALSE,"contrib_unit";"dett_commerciali",#N/A,FALSE,"contrib_unit"}</definedName>
    <definedName name="огщш" hidden="1">{"sintesi",#N/A,FALSE,"contrib_unit";"dett_materiali",#N/A,FALSE,"contrib_unit";"dett_lav.ne",#N/A,FALSE,"contrib_unit";"dett_altre_ind.li",#N/A,FALSE,"contrib_unit";"dett_commerciali",#N/A,FALSE,"contrib_unit"}</definedName>
    <definedName name="ОД">#REF!</definedName>
    <definedName name="ол" localSheetId="7" hidden="1">{#N/A,#N/A,FALSE,"Лист15"}</definedName>
    <definedName name="ол" hidden="1">{#N/A,#N/A,FALSE,"Лист15"}</definedName>
    <definedName name="ола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л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ооо" localSheetId="7" hidden="1">{#N/A,#N/A,FALSE,"Лист15"}</definedName>
    <definedName name="оооо" hidden="1">{#N/A,#N/A,FALSE,"Лист15"}</definedName>
    <definedName name="ор" localSheetId="7" hidden="1">{#N/A,#N/A,FALSE,"Лист15"}</definedName>
    <definedName name="ор" hidden="1">{#N/A,#N/A,FALSE,"Лист15"}</definedName>
    <definedName name="ор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гинал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л" localSheetId="7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орл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орн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ор" localSheetId="7" hidden="1">{#N/A,#N/A,FALSE,"Лист15"}</definedName>
    <definedName name="орор" hidden="1">{#N/A,#N/A,FALSE,"Лист15"}</definedName>
    <definedName name="ороро" localSheetId="7" hidden="1">{#N/A,#N/A,FALSE,"Лист15"}</definedName>
    <definedName name="ороро" hidden="1">{#N/A,#N/A,FALSE,"Лист15"}</definedName>
    <definedName name="орт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гр." localSheetId="7" hidden="1">{#N/A,#N/A,FALSE,"Лист15"}</definedName>
    <definedName name="отгр." hidden="1">{#N/A,#N/A,FALSE,"Лист15"}</definedName>
    <definedName name="отгрз" localSheetId="7" hidden="1">{#N/A,#N/A,FALSE,"Лист15"}</definedName>
    <definedName name="отгрз" hidden="1">{#N/A,#N/A,FALSE,"Лист15"}</definedName>
    <definedName name="отчет" localSheetId="7" hidden="1">{#N/A,#N/A,FALSE,"Лист15"}</definedName>
    <definedName name="отчет" hidden="1">{#N/A,#N/A,FALSE,"Лист15"}</definedName>
    <definedName name="отчет1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хотсез">#REF!</definedName>
    <definedName name="паоапо" localSheetId="7" hidden="1">{#N/A,#N/A,FALSE,"Лист15"}</definedName>
    <definedName name="паоапо" hidden="1">{#N/A,#N/A,FALSE,"Лист15"}</definedName>
    <definedName name="папр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В" localSheetId="7" hidden="1">{"AnalRSA",#N/A,TRUE,"PL-Anal";"AnalIAS",#N/A,TRUE,"PL-Anal"}</definedName>
    <definedName name="ПВ" hidden="1">{"AnalRSA",#N/A,TRUE,"PL-Anal";"AnalIAS",#N/A,TRUE,"PL-Anal"}</definedName>
    <definedName name="пврва" localSheetId="7" hidden="1">{#N/A,#N/A,FALSE,"Лист15"}</definedName>
    <definedName name="пврва" hidden="1">{#N/A,#N/A,FALSE,"Лист15"}</definedName>
    <definedName name="пимфк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здан">#REF!</definedName>
    <definedName name="ПлощТепл">#REF!</definedName>
    <definedName name="плр" localSheetId="7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плр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ПМ">#REF!</definedName>
    <definedName name="по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о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одготовка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казатели" localSheetId="7" hidden="1">{#N/A,#N/A,FALSE,"Лист15"}</definedName>
    <definedName name="показатели" hidden="1">{#N/A,#N/A,FALSE,"Лист15"}</definedName>
    <definedName name="Пошлина">#REF!</definedName>
    <definedName name="ПП" localSheetId="7" hidden="1">{#N/A,#N/A,FALSE,"Лист15"}</definedName>
    <definedName name="ПП" hidden="1">{#N/A,#N/A,FALSE,"Лист15"}</definedName>
    <definedName name="пр" localSheetId="7" hidden="1">{#N/A,#N/A,FALSE,"Лист15"}</definedName>
    <definedName name="пр" hidden="1">{#N/A,#N/A,FALSE,"Лист15"}</definedName>
    <definedName name="пр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localSheetId="7" hidden="1">{#N/A,#N/A,FALSE,"Сентябрь";#N/A,#N/A,FALSE,"Пояснительная сентябре 99"}</definedName>
    <definedName name="прл" hidden="1">{#N/A,#N/A,FALSE,"Сентябрь";#N/A,#N/A,FALSE,"Пояснительная сентябре 99"}</definedName>
    <definedName name="прлн" localSheetId="7" hidden="1">{#N/A,#N/A,FALSE,"Infl_fact"}</definedName>
    <definedName name="прлн" hidden="1">{#N/A,#N/A,FALSE,"Infl_fact"}</definedName>
    <definedName name="простои" localSheetId="7" hidden="1">{#N/A,#N/A,FALSE,"Лист15"}</definedName>
    <definedName name="простои" hidden="1">{#N/A,#N/A,FALSE,"Лист15"}</definedName>
    <definedName name="проц" localSheetId="6">#REF!</definedName>
    <definedName name="проц">#REF!</definedName>
    <definedName name="прпнош" localSheetId="7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прпнош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прсб" localSheetId="7" hidden="1">{#N/A,#N/A,FALSE,"Лист15"}</definedName>
    <definedName name="прсб" hidden="1">{#N/A,#N/A,FALSE,"Лист15"}</definedName>
    <definedName name="псаоа" localSheetId="7" hidden="1">{#N/A,#N/A,FALSE,"Aging Summary";#N/A,#N/A,FALSE,"Ratio Analysis";#N/A,#N/A,FALSE,"Test 120 Day Accts";#N/A,#N/A,FALSE,"Tickmarks"}</definedName>
    <definedName name="псаоа" hidden="1">{#N/A,#N/A,FALSE,"Aging Summary";#N/A,#N/A,FALSE,"Ratio Analysis";#N/A,#N/A,FALSE,"Test 120 Day Accts";#N/A,#N/A,FALSE,"Tickmarks"}</definedName>
    <definedName name="пыпыппывапа" localSheetId="7" hidden="1">#REF!,#REF!,#REF!</definedName>
    <definedName name="пыпыппывапа" hidden="1">#REF!,#REF!,#REF!</definedName>
    <definedName name="рав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рав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рапр" localSheetId="7" hidden="1">{#N/A,#N/A,FALSE,"Лист15"}</definedName>
    <definedName name="рапр" hidden="1">{#N/A,#N/A,FALSE,"Лист15"}</definedName>
    <definedName name="расходы" localSheetId="7" hidden="1">{#N/A,#N/A,FALSE,"Лист15"}</definedName>
    <definedName name="расходы" hidden="1">{#N/A,#N/A,FALSE,"Лист15"}</definedName>
    <definedName name="расчет" localSheetId="7" hidden="1">{#N/A,#N/A,FALSE,"Лист15"}</definedName>
    <definedName name="расчет" hidden="1">{#N/A,#N/A,FALSE,"Лист15"}</definedName>
    <definedName name="расшифровка" localSheetId="7" hidden="1">{#N/A,#N/A,FALSE,"Лист15"}</definedName>
    <definedName name="расшифровка" hidden="1">{#N/A,#N/A,FALSE,"Лист15"}</definedName>
    <definedName name="рдл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д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емздан">#REF!</definedName>
    <definedName name="ремоб">#REF!</definedName>
    <definedName name="репин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олб" localSheetId="7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риолб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рмщдм" localSheetId="7" hidden="1">{#N/A,#N/A,FALSE,"FA_1";#N/A,#N/A,FALSE,"Dep'n SE";#N/A,#N/A,FALSE,"Dep'n FC"}</definedName>
    <definedName name="рмщдм" hidden="1">{#N/A,#N/A,FALSE,"FA_1";#N/A,#N/A,FALSE,"Dep'n SE";#N/A,#N/A,FALSE,"Dep'n FC"}</definedName>
    <definedName name="роблротд" localSheetId="7" hidden="1">{"sintesi",#N/A,FALSE,"contrib_unit";"dett_materiali",#N/A,FALSE,"contrib_unit";"dett_lav.ne",#N/A,FALSE,"contrib_unit";"dett_altre_ind.li",#N/A,FALSE,"contrib_unit";"dett_commerciali",#N/A,FALSE,"contrib_unit"}</definedName>
    <definedName name="роблротд" hidden="1">{"sintesi",#N/A,FALSE,"contrib_unit";"dett_materiali",#N/A,FALSE,"contrib_unit";"dett_lav.ne",#N/A,FALSE,"contrib_unit";"dett_altre_ind.li",#N/A,FALSE,"contrib_unit";"dett_commerciali",#N/A,FALSE,"contrib_unit"}</definedName>
    <definedName name="род" localSheetId="7" hidden="1">{"AnalRSA",#N/A,TRUE,"PL-Anal";"AnalIAS",#N/A,TRUE,"PL-Anal"}</definedName>
    <definedName name="род" hidden="1">{"AnalRSA",#N/A,TRUE,"PL-Anal";"AnalIAS",#N/A,TRUE,"PL-Anal"}</definedName>
    <definedName name="ром" localSheetId="7" hidden="1">{#N/A,#N/A,FALSE,"Лист15"}</definedName>
    <definedName name="ром" hidden="1">{#N/A,#N/A,FALSE,"Лист15"}</definedName>
    <definedName name="роол" localSheetId="7" hidden="1">{#N/A,#N/A,FALSE,"Лист15"}</definedName>
    <definedName name="роол" hidden="1">{#N/A,#N/A,FALSE,"Лист15"}</definedName>
    <definedName name="ророро" localSheetId="7" hidden="1">{#N/A,#N/A,FALSE,"Лист15"}</definedName>
    <definedName name="ророро" hidden="1">{#N/A,#N/A,FALSE,"Лист15"}</definedName>
    <definedName name="рпл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п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плн" localSheetId="7" hidden="1">{#N/A,#N/A,FALSE,"Лист15"}</definedName>
    <definedName name="рплн" hidden="1">{#N/A,#N/A,FALSE,"Лист15"}</definedName>
    <definedName name="рплнощ" localSheetId="7" hidden="1">{"IASTrail",#N/A,FALSE,"IAS"}</definedName>
    <definedName name="рплнощ" hidden="1">{"IASTrail",#N/A,FALSE,"IAS"}</definedName>
    <definedName name="рпп" localSheetId="7" hidden="1">{#N/A,#N/A,FALSE,"Лист15"}</definedName>
    <definedName name="рпп" hidden="1">{#N/A,#N/A,FALSE,"Лист15"}</definedName>
    <definedName name="с8" localSheetId="7" hidden="1">{#N/A,#N/A,FALSE,"Лист15"}</definedName>
    <definedName name="с8" hidden="1">{#N/A,#N/A,FALSE,"Лист15"}</definedName>
    <definedName name="с9" localSheetId="7" hidden="1">{#N/A,#N/A,FALSE,"Лист15"}</definedName>
    <definedName name="с9" hidden="1">{#N/A,#N/A,FALSE,"Лист15"}</definedName>
    <definedName name="савпр" localSheetId="7" hidden="1">{#N/A,#N/A,FALSE,"Лист15"}</definedName>
    <definedName name="савпр" hidden="1">{#N/A,#N/A,FALSE,"Лист15"}</definedName>
    <definedName name="саша" localSheetId="7" hidden="1">{#N/A,#N/A,FALSE,"Лист15"}</definedName>
    <definedName name="саша" hidden="1">{#N/A,#N/A,FALSE,"Лист15"}</definedName>
    <definedName name="см" localSheetId="7" hidden="1">{#N/A,#N/A,FALSE,"Лист15"}</definedName>
    <definedName name="см" hidden="1">{#N/A,#N/A,FALSE,"Лист15"}</definedName>
    <definedName name="содерж" localSheetId="7" hidden="1">{#N/A,#N/A,FALSE,"Лист15"}</definedName>
    <definedName name="содерж" hidden="1">{#N/A,#N/A,FALSE,"Лист15"}</definedName>
    <definedName name="сорро" localSheetId="7" hidden="1">{#N/A,#N/A,FALSE,"Лист15"}</definedName>
    <definedName name="сорро" hidden="1">{#N/A,#N/A,FALSE,"Лист15"}</definedName>
    <definedName name="соцн">#REF!</definedName>
    <definedName name="срок">#REF!</definedName>
    <definedName name="сроккр" localSheetId="6">#REF!</definedName>
    <definedName name="сроккр">#REF!</definedName>
    <definedName name="СС" localSheetId="7" hidden="1">{#N/A,#N/A,FALSE,"Лист15"}</definedName>
    <definedName name="СС" hidden="1">{#N/A,#N/A,FALSE,"Лист15"}</definedName>
    <definedName name="СС_1т" localSheetId="7" hidden="1">{#N/A,#N/A,FALSE,"Лист15"}</definedName>
    <definedName name="СС_1т" hidden="1">{#N/A,#N/A,FALSE,"Лист15"}</definedName>
    <definedName name="СС_1тн" localSheetId="7" hidden="1">{#N/A,#N/A,FALSE,"Лист15"}</definedName>
    <definedName name="СС_1тн" hidden="1">{#N/A,#N/A,FALSE,"Лист15"}</definedName>
    <definedName name="стр26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утгод">#REF!</definedName>
    <definedName name="счет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т3" localSheetId="7" hidden="1">{#N/A,#N/A,FALSE,"Лист15"}</definedName>
    <definedName name="т3" hidden="1">{#N/A,#N/A,FALSE,"Лист15"}</definedName>
    <definedName name="талоырал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ня" localSheetId="7" hidden="1">{#N/A,#N/A,FALSE,"Лист15"}</definedName>
    <definedName name="таня" hidden="1">{#N/A,#N/A,FALSE,"Лист15"}</definedName>
    <definedName name="тариф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в.пр." localSheetId="7" hidden="1">{#N/A,#N/A,FALSE,"Лист15"}</definedName>
    <definedName name="тов.пр." hidden="1">{#N/A,#N/A,FALSE,"Лист15"}</definedName>
    <definedName name="ТоматКор">#REF!</definedName>
    <definedName name="Транзит2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анзит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оьл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троьл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тт" localSheetId="7" hidden="1">{#N/A,#N/A,FALSE,"Лист15"}</definedName>
    <definedName name="тт" hidden="1">{#N/A,#N/A,FALSE,"Лист15"}</definedName>
    <definedName name="тфф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ш" localSheetId="7" hidden="1">{#N/A,#N/A,FALSE,"Лист15"}</definedName>
    <definedName name="тш" hidden="1">{#N/A,#N/A,FALSE,"Лист15"}</definedName>
    <definedName name="тшк" localSheetId="7" hidden="1">{#N/A,#N/A,FALSE,"Лист15"}</definedName>
    <definedName name="тшк" hidden="1">{#N/A,#N/A,FALSE,"Лист15"}</definedName>
    <definedName name="тьлюж" localSheetId="7" hidden="1">{"BS1",#N/A,TRUE,"RSA_FS";"BS2",#N/A,TRUE,"RSA_FS";"BS3",#N/A,TRUE,"RSA_FS"}</definedName>
    <definedName name="тьлюж" hidden="1">{"BS1",#N/A,TRUE,"RSA_FS";"BS2",#N/A,TRUE,"RSA_FS";"BS3",#N/A,TRUE,"RSA_FS"}</definedName>
    <definedName name="тьроир" localSheetId="7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тьроир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у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ееее" localSheetId="7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уееее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укеп" localSheetId="7" hidden="1">{#N/A,#N/A,FALSE,"Лист15"}</definedName>
    <definedName name="укеп" hidden="1">{#N/A,#N/A,FALSE,"Лист15"}</definedName>
    <definedName name="февраль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инплан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а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п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localSheetId="7" hidden="1">{"Страница 1",#N/A,FALSE,"Модель Интенсивника";"Страница 2",#N/A,FALSE,"Модель Интенсивника";"Страница 3",#N/A,FALSE,"Модель Интенсивника"}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аха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ждл" localSheetId="7" hidden="1">{#N/A,#N/A,FALSE,"Лист15"}</definedName>
    <definedName name="хждл" hidden="1">{#N/A,#N/A,FALSE,"Лист15"}</definedName>
    <definedName name="ц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Упаковки">#REF!</definedName>
    <definedName name="Центр">#REF!</definedName>
    <definedName name="цйее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йее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тт" localSheetId="7" hidden="1">{#N/A,#N/A,FALSE,"Лист15"}</definedName>
    <definedName name="цтт" hidden="1">{#N/A,#N/A,FALSE,"Лист15"}</definedName>
    <definedName name="цук" localSheetId="7" hidden="1">{#N/A,#N/A,FALSE,"МТВ"}</definedName>
    <definedName name="цук" hidden="1">{#N/A,#N/A,FALSE,"МТВ"}</definedName>
    <definedName name="цукц" localSheetId="7" hidden="1">{"sintesi",#N/A,FALSE,"contrib_unit";"dett_materiali",#N/A,FALSE,"contrib_unit";"dett_lav.ne",#N/A,FALSE,"contrib_unit";"dett_altre_ind.li",#N/A,FALSE,"contrib_unit";"dett_commerciali",#N/A,FALSE,"contrib_unit"}</definedName>
    <definedName name="цукц" hidden="1">{"sintesi",#N/A,FALSE,"contrib_unit";"dett_materiali",#N/A,FALSE,"contrib_unit";"dett_lav.ne",#N/A,FALSE,"contrib_unit";"dett_altre_ind.li",#N/A,FALSE,"contrib_unit";"dett_commerciali",#N/A,FALSE,"contrib_unit"}</definedName>
    <definedName name="цфувцф" localSheetId="7" hidden="1">{#N/A,#N/A,FALSE,"Лист15"}</definedName>
    <definedName name="цфувцф" hidden="1">{#N/A,#N/A,FALSE,"Лист15"}</definedName>
    <definedName name="цц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ыка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ы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1" localSheetId="7" hidden="1">{#N/A,#N/A,FALSE,"Лист15"}</definedName>
    <definedName name="ч1" hidden="1">{#N/A,#N/A,FALSE,"Лист15"}</definedName>
    <definedName name="ч2" localSheetId="7" hidden="1">{#N/A,#N/A,FALSE,"Лист15"}</definedName>
    <definedName name="ч2" hidden="1">{#N/A,#N/A,FALSE,"Лист15"}</definedName>
    <definedName name="ч3" localSheetId="7" hidden="1">{#N/A,#N/A,FALSE,"Лист15"}</definedName>
    <definedName name="ч3" hidden="1">{#N/A,#N/A,FALSE,"Лист15"}</definedName>
    <definedName name="ч4" localSheetId="7" hidden="1">{#N/A,#N/A,FALSE,"Лист15"}</definedName>
    <definedName name="ч4" hidden="1">{#N/A,#N/A,FALSE,"Лист15"}</definedName>
    <definedName name="ч5" localSheetId="7" hidden="1">{#N/A,#N/A,FALSE,"Лист15"}</definedName>
    <definedName name="ч5" hidden="1">{#N/A,#N/A,FALSE,"Лист15"}</definedName>
    <definedName name="ч6" localSheetId="7" hidden="1">{#N/A,#N/A,FALSE,"Лист15"}</definedName>
    <definedName name="ч6" hidden="1">{#N/A,#N/A,FALSE,"Лист15"}</definedName>
    <definedName name="ч7" localSheetId="7" hidden="1">{#N/A,#N/A,FALSE,"Лист15"}</definedName>
    <definedName name="ч7" hidden="1">{#N/A,#N/A,FALSE,"Лист15"}</definedName>
    <definedName name="ч9" localSheetId="7" hidden="1">{#N/A,#N/A,FALSE,"Лист15"}</definedName>
    <definedName name="ч9" hidden="1">{#N/A,#N/A,FALSE,"Лист15"}</definedName>
    <definedName name="чвр" localSheetId="7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чвр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чрв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рв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срвтпоп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срвтпоп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ырв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ырв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шлл" localSheetId="7" hidden="1">{#N/A,#N/A,FALSE,"Лист15"}</definedName>
    <definedName name="шлл" hidden="1">{#N/A,#N/A,FALSE,"Лист15"}</definedName>
    <definedName name="шшш" localSheetId="7" hidden="1">{#N/A,#N/A,FALSE,"Лист15"}</definedName>
    <definedName name="шшш" hidden="1">{#N/A,#N/A,FALSE,"Лист15"}</definedName>
    <definedName name="ы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вп" localSheetId="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вп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вфц" localSheetId="7" hidden="1">{#N/A,#N/A,FALSE,"Лист15"}</definedName>
    <definedName name="ывфц" hidden="1">{#N/A,#N/A,FALSE,"Лист15"}</definedName>
    <definedName name="ыуе" localSheetId="7" hidden="1">{"IASBS",#N/A,TRUE,"IAS";"IASPL",#N/A,TRUE,"IAS";"IASNotes",#N/A,TRUE,"IAS";"CFDir - expanded",#N/A,TRUE,"CF DIR"}</definedName>
    <definedName name="ыуе" hidden="1">{"IASBS",#N/A,TRUE,"IAS";"IASPL",#N/A,TRUE,"IAS";"IASNotes",#N/A,TRUE,"IAS";"CFDir - expanded",#N/A,TRUE,"CF DIR"}</definedName>
    <definedName name="ыурк" localSheetId="7" hidden="1">{#N/A,#N/A,FALSE,"Лист15"}</definedName>
    <definedName name="ыурк" hidden="1">{#N/A,#N/A,FALSE,"Лист15"}</definedName>
    <definedName name="ыы" localSheetId="7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бжл" localSheetId="7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ьбжл" hidden="1">{#N/A,#N/A,FALSE,"GAZ_CP500ML";#N/A,#N/A,FALSE,"VARI_SE_CP900ML";#N/A,#N/A,FALSE,"VARI_SE_CP70ML";#N/A,#N/A,FALSE,"ALS_CP70ML";#N/A,#N/A,FALSE,"AMB_CP70ML";#N/A,#N/A,FALSE,"MAK_CP250ML";#N/A,#N/A,FALSE,"ATT_CP70ML";#N/A,#N/A,FALSE,"DAL_CP70ML";#N/A,#N/A,FALSE,"VARI_SE_CP330ML_E";#N/A,#N/A,FALSE,"AMB_CP250ML"}</definedName>
    <definedName name="электроэнергия" localSheetId="7" hidden="1">{#N/A,#N/A,FALSE,"Лист15"}</definedName>
    <definedName name="электроэнергия" hidden="1">{#N/A,#N/A,FALSE,"Лист15"}</definedName>
    <definedName name="юю" localSheetId="7" hidden="1">{#N/A,#N/A,FALSE,"Лист15"}</definedName>
    <definedName name="юю" hidden="1">{#N/A,#N/A,FALSE,"Лист15"}</definedName>
    <definedName name="я2" localSheetId="7" hidden="1">{#N/A,#N/A,FALSE,"Лист15"}</definedName>
    <definedName name="я2" hidden="1">{#N/A,#N/A,FALSE,"Лист15"}</definedName>
    <definedName name="я3" localSheetId="7" hidden="1">{#N/A,#N/A,FALSE,"Лист15"}</definedName>
    <definedName name="я3" hidden="1">{#N/A,#N/A,FALSE,"Лист15"}</definedName>
    <definedName name="я4" localSheetId="7" hidden="1">{#N/A,#N/A,FALSE,"Лист15"}</definedName>
    <definedName name="я4" hidden="1">{#N/A,#N/A,FALSE,"Лист15"}</definedName>
    <definedName name="я5" localSheetId="7" hidden="1">{#N/A,#N/A,FALSE,"Лист15"}</definedName>
    <definedName name="я5" hidden="1">{#N/A,#N/A,FALSE,"Лист15"}</definedName>
    <definedName name="я6" localSheetId="7" hidden="1">{#N/A,#N/A,FALSE,"Лист15"}</definedName>
    <definedName name="я6" hidden="1">{#N/A,#N/A,FALSE,"Лист15"}</definedName>
    <definedName name="я7" localSheetId="7" hidden="1">{#N/A,#N/A,FALSE,"Лист15"}</definedName>
    <definedName name="я7" hidden="1">{#N/A,#N/A,FALSE,"Лист15"}</definedName>
    <definedName name="я8" localSheetId="7" hidden="1">{#N/A,#N/A,FALSE,"Лист15"}</definedName>
    <definedName name="я8" hidden="1">{#N/A,#N/A,FALSE,"Лист15"}</definedName>
    <definedName name="я9" localSheetId="7" hidden="1">{#N/A,#N/A,FALSE,"Лист15"}</definedName>
    <definedName name="я9" hidden="1">{#N/A,#N/A,FALSE,"Лист15"}</definedName>
    <definedName name="яцуфф" localSheetId="7" hidden="1">{#N/A,#N/A,FALSE,"Лист15"}</definedName>
    <definedName name="яцуфф" hidden="1">{#N/A,#N/A,FALSE,"Лист15"}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9" l="1"/>
  <c r="C26" i="39"/>
  <c r="B20" i="39"/>
  <c r="H22" i="54"/>
  <c r="G22" i="54"/>
  <c r="H23" i="54"/>
  <c r="G23" i="54"/>
  <c r="I18" i="54"/>
  <c r="H18" i="54"/>
  <c r="B35" i="26"/>
  <c r="M40" i="58"/>
  <c r="T21" i="60"/>
  <c r="FN35" i="58"/>
  <c r="FE37" i="58"/>
  <c r="EJ35" i="58"/>
  <c r="EH38" i="58"/>
  <c r="ED35" i="58"/>
  <c r="DU37" i="58"/>
  <c r="CZ35" i="58"/>
  <c r="CX38" i="58"/>
  <c r="CT35" i="58"/>
  <c r="CK37" i="58"/>
  <c r="BP35" i="58"/>
  <c r="BD35" i="58"/>
  <c r="AR35" i="58"/>
  <c r="AP37" i="58"/>
  <c r="AN36" i="58"/>
  <c r="AE35" i="58"/>
  <c r="AB36" i="58"/>
  <c r="S35" i="58"/>
  <c r="P36" i="58"/>
  <c r="E35" i="58"/>
  <c r="F35" i="58"/>
  <c r="G35" i="58"/>
  <c r="E36" i="58"/>
  <c r="F36" i="58"/>
  <c r="G36" i="58"/>
  <c r="E37" i="58"/>
  <c r="F37" i="58"/>
  <c r="G37" i="58"/>
  <c r="E38" i="58"/>
  <c r="F38" i="58"/>
  <c r="G38" i="58"/>
  <c r="AD11" i="58"/>
  <c r="AP11" i="58" s="1"/>
  <c r="AE13" i="58"/>
  <c r="AA10" i="58"/>
  <c r="AM10" i="58" s="1"/>
  <c r="AY10" i="58" s="1"/>
  <c r="BK10" i="58" s="1"/>
  <c r="BW10" i="58" s="1"/>
  <c r="CI10" i="58" s="1"/>
  <c r="CU10" i="58" s="1"/>
  <c r="DG10" i="58" s="1"/>
  <c r="DS10" i="58" s="1"/>
  <c r="EE10" i="58" s="1"/>
  <c r="EQ10" i="58" s="1"/>
  <c r="FC10" i="58" s="1"/>
  <c r="FO10" i="58" s="1"/>
  <c r="FO35" i="58" s="1"/>
  <c r="AA13" i="58"/>
  <c r="S10" i="58"/>
  <c r="AE10" i="58" s="1"/>
  <c r="AQ10" i="58" s="1"/>
  <c r="O10" i="58"/>
  <c r="O35" i="58" s="1"/>
  <c r="P10" i="58"/>
  <c r="AB10" i="58" s="1"/>
  <c r="AN10" i="58" s="1"/>
  <c r="AZ10" i="58" s="1"/>
  <c r="BL10" i="58" s="1"/>
  <c r="BX10" i="58" s="1"/>
  <c r="CJ10" i="58" s="1"/>
  <c r="Q10" i="58"/>
  <c r="AC10" i="58" s="1"/>
  <c r="AO10" i="58" s="1"/>
  <c r="R10" i="58"/>
  <c r="O11" i="58"/>
  <c r="O36" i="58" s="1"/>
  <c r="P11" i="58"/>
  <c r="AB11" i="58" s="1"/>
  <c r="AN11" i="58" s="1"/>
  <c r="AZ11" i="58" s="1"/>
  <c r="BL11" i="58" s="1"/>
  <c r="Q11" i="58"/>
  <c r="AC11" i="58" s="1"/>
  <c r="R11" i="58"/>
  <c r="R36" i="58" s="1"/>
  <c r="S11" i="58"/>
  <c r="AE11" i="58" s="1"/>
  <c r="AQ11" i="58" s="1"/>
  <c r="O12" i="58"/>
  <c r="P12" i="58"/>
  <c r="Q12" i="58"/>
  <c r="AC12" i="58" s="1"/>
  <c r="AO12" i="58" s="1"/>
  <c r="BA12" i="58" s="1"/>
  <c r="BM12" i="58" s="1"/>
  <c r="BY12" i="58" s="1"/>
  <c r="CK12" i="58" s="1"/>
  <c r="CW12" i="58" s="1"/>
  <c r="DI12" i="58" s="1"/>
  <c r="DU12" i="58" s="1"/>
  <c r="EG12" i="58" s="1"/>
  <c r="ES12" i="58" s="1"/>
  <c r="FE12" i="58" s="1"/>
  <c r="R12" i="58"/>
  <c r="AD12" i="58" s="1"/>
  <c r="AP12" i="58" s="1"/>
  <c r="BB12" i="58" s="1"/>
  <c r="BN12" i="58" s="1"/>
  <c r="BZ12" i="58" s="1"/>
  <c r="CL12" i="58" s="1"/>
  <c r="S12" i="58"/>
  <c r="AE12" i="58" s="1"/>
  <c r="AQ12" i="58" s="1"/>
  <c r="O13" i="58"/>
  <c r="O38" i="58" s="1"/>
  <c r="P13" i="58"/>
  <c r="Q13" i="58"/>
  <c r="R13" i="58"/>
  <c r="AD13" i="58" s="1"/>
  <c r="AP13" i="58" s="1"/>
  <c r="BB13" i="58" s="1"/>
  <c r="BN13" i="58" s="1"/>
  <c r="BZ13" i="58" s="1"/>
  <c r="CL13" i="58" s="1"/>
  <c r="CX13" i="58" s="1"/>
  <c r="DJ13" i="58" s="1"/>
  <c r="DV13" i="58" s="1"/>
  <c r="EH13" i="58" s="1"/>
  <c r="ET13" i="58" s="1"/>
  <c r="FF13" i="58" s="1"/>
  <c r="FF38" i="58" s="1"/>
  <c r="S13" i="58"/>
  <c r="S38" i="58" s="1"/>
  <c r="N11" i="58"/>
  <c r="N36" i="58" s="1"/>
  <c r="N12" i="58"/>
  <c r="N37" i="58" s="1"/>
  <c r="N13" i="58"/>
  <c r="N38" i="58" s="1"/>
  <c r="N10" i="58"/>
  <c r="Z10" i="58" s="1"/>
  <c r="AL10" i="58" s="1"/>
  <c r="AX10" i="58" s="1"/>
  <c r="BJ10" i="58" s="1"/>
  <c r="BV10" i="58" s="1"/>
  <c r="CH10" i="58" s="1"/>
  <c r="CT10" i="58" s="1"/>
  <c r="DF10" i="58" s="1"/>
  <c r="DR10" i="58" s="1"/>
  <c r="ED10" i="58" s="1"/>
  <c r="EP10" i="58" s="1"/>
  <c r="FB10" i="58" s="1"/>
  <c r="FN10" i="58" s="1"/>
  <c r="H10" i="58"/>
  <c r="T10" i="58" s="1"/>
  <c r="AF10" i="58" s="1"/>
  <c r="AR10" i="58" s="1"/>
  <c r="BD10" i="58" s="1"/>
  <c r="BP10" i="58" s="1"/>
  <c r="CB10" i="58" s="1"/>
  <c r="CN10" i="58" s="1"/>
  <c r="CZ10" i="58" s="1"/>
  <c r="DL10" i="58" s="1"/>
  <c r="DX10" i="58" s="1"/>
  <c r="EJ10" i="58" s="1"/>
  <c r="EV10" i="58" s="1"/>
  <c r="FH10" i="58" s="1"/>
  <c r="FH35" i="58" s="1"/>
  <c r="H40" i="58"/>
  <c r="I40" i="58"/>
  <c r="J40" i="58"/>
  <c r="K40" i="58"/>
  <c r="L40" i="58"/>
  <c r="H41" i="58"/>
  <c r="I41" i="58"/>
  <c r="J41" i="58"/>
  <c r="K41" i="58"/>
  <c r="L41" i="58"/>
  <c r="M41" i="58"/>
  <c r="H42" i="58"/>
  <c r="I42" i="58"/>
  <c r="J42" i="58"/>
  <c r="K42" i="58"/>
  <c r="L42" i="58"/>
  <c r="M42" i="58"/>
  <c r="H43" i="58"/>
  <c r="I43" i="58"/>
  <c r="J43" i="58"/>
  <c r="K43" i="58"/>
  <c r="L43" i="58"/>
  <c r="M43" i="58"/>
  <c r="D41" i="58"/>
  <c r="D42" i="58"/>
  <c r="D43" i="58"/>
  <c r="D40" i="58"/>
  <c r="C40" i="58"/>
  <c r="C41" i="58"/>
  <c r="C42" i="58"/>
  <c r="C43" i="58"/>
  <c r="B43" i="58"/>
  <c r="B42" i="58"/>
  <c r="B41" i="58"/>
  <c r="B40" i="58"/>
  <c r="B36" i="58"/>
  <c r="B37" i="58"/>
  <c r="B38" i="58"/>
  <c r="B35" i="58"/>
  <c r="G14" i="58"/>
  <c r="B26" i="58"/>
  <c r="C26" i="58"/>
  <c r="D26" i="58"/>
  <c r="B10" i="58"/>
  <c r="H26" i="58"/>
  <c r="N14" i="58" s="1"/>
  <c r="Z14" i="58" s="1"/>
  <c r="AL14" i="58" s="1"/>
  <c r="AX14" i="58" s="1"/>
  <c r="BJ14" i="58" s="1"/>
  <c r="BV14" i="58" s="1"/>
  <c r="CH14" i="58" s="1"/>
  <c r="CT14" i="58" s="1"/>
  <c r="DF14" i="58" s="1"/>
  <c r="DR14" i="58" s="1"/>
  <c r="ED14" i="58" s="1"/>
  <c r="EP14" i="58" s="1"/>
  <c r="FB14" i="58" s="1"/>
  <c r="FN14" i="58" s="1"/>
  <c r="I26" i="58"/>
  <c r="O14" i="58" s="1"/>
  <c r="AA14" i="58" s="1"/>
  <c r="AM14" i="58" s="1"/>
  <c r="AY14" i="58" s="1"/>
  <c r="BK14" i="58" s="1"/>
  <c r="BW14" i="58" s="1"/>
  <c r="CI14" i="58" s="1"/>
  <c r="CU14" i="58" s="1"/>
  <c r="DG14" i="58" s="1"/>
  <c r="DS14" i="58" s="1"/>
  <c r="EE14" i="58" s="1"/>
  <c r="EQ14" i="58" s="1"/>
  <c r="FC14" i="58" s="1"/>
  <c r="FO14" i="58" s="1"/>
  <c r="J26" i="58"/>
  <c r="P14" i="58" s="1"/>
  <c r="AB14" i="58" s="1"/>
  <c r="AN14" i="58" s="1"/>
  <c r="AZ14" i="58" s="1"/>
  <c r="BL14" i="58" s="1"/>
  <c r="BX14" i="58" s="1"/>
  <c r="CJ14" i="58" s="1"/>
  <c r="CV14" i="58" s="1"/>
  <c r="DH14" i="58" s="1"/>
  <c r="DT14" i="58" s="1"/>
  <c r="EF14" i="58" s="1"/>
  <c r="ER14" i="58" s="1"/>
  <c r="FD14" i="58" s="1"/>
  <c r="K26" i="58"/>
  <c r="Q14" i="58" s="1"/>
  <c r="AC14" i="58" s="1"/>
  <c r="AO14" i="58" s="1"/>
  <c r="BA14" i="58" s="1"/>
  <c r="BM14" i="58" s="1"/>
  <c r="BY14" i="58" s="1"/>
  <c r="CK14" i="58" s="1"/>
  <c r="CW14" i="58" s="1"/>
  <c r="DI14" i="58" s="1"/>
  <c r="DU14" i="58" s="1"/>
  <c r="EG14" i="58" s="1"/>
  <c r="ES14" i="58" s="1"/>
  <c r="FE14" i="58" s="1"/>
  <c r="L26" i="58"/>
  <c r="R14" i="58" s="1"/>
  <c r="AD14" i="58" s="1"/>
  <c r="AP14" i="58" s="1"/>
  <c r="BB14" i="58" s="1"/>
  <c r="BN14" i="58" s="1"/>
  <c r="BZ14" i="58" s="1"/>
  <c r="CL14" i="58" s="1"/>
  <c r="CX14" i="58" s="1"/>
  <c r="DJ14" i="58" s="1"/>
  <c r="DV14" i="58" s="1"/>
  <c r="EH14" i="58" s="1"/>
  <c r="ET14" i="58" s="1"/>
  <c r="FF14" i="58" s="1"/>
  <c r="M26" i="58"/>
  <c r="S14" i="58" s="1"/>
  <c r="AE14" i="58" s="1"/>
  <c r="AQ14" i="58" s="1"/>
  <c r="BC14" i="58" s="1"/>
  <c r="BO14" i="58" s="1"/>
  <c r="CA14" i="58" s="1"/>
  <c r="CM14" i="58" s="1"/>
  <c r="CY14" i="58" s="1"/>
  <c r="DK14" i="58" s="1"/>
  <c r="DW14" i="58" s="1"/>
  <c r="EI14" i="58" s="1"/>
  <c r="EU14" i="58" s="1"/>
  <c r="FG14" i="58" s="1"/>
  <c r="AC13" i="58" l="1"/>
  <c r="Q38" i="58"/>
  <c r="AB12" i="58"/>
  <c r="P37" i="58"/>
  <c r="AM13" i="58"/>
  <c r="AA38" i="58"/>
  <c r="P38" i="58"/>
  <c r="AB13" i="58"/>
  <c r="AA12" i="58"/>
  <c r="O37" i="58"/>
  <c r="AD10" i="58"/>
  <c r="R35" i="58"/>
  <c r="Z11" i="58"/>
  <c r="AE38" i="58"/>
  <c r="AQ13" i="58"/>
  <c r="AO11" i="58"/>
  <c r="AC36" i="58"/>
  <c r="AE36" i="58"/>
  <c r="DS35" i="58"/>
  <c r="FC35" i="58"/>
  <c r="BC11" i="58"/>
  <c r="AQ36" i="58"/>
  <c r="CI35" i="58"/>
  <c r="BC12" i="58"/>
  <c r="AQ37" i="58"/>
  <c r="CV10" i="58"/>
  <c r="CJ35" i="58"/>
  <c r="S37" i="58"/>
  <c r="Q35" i="58"/>
  <c r="AE37" i="58"/>
  <c r="AD36" i="58"/>
  <c r="AC35" i="58"/>
  <c r="AO37" i="58"/>
  <c r="AZ35" i="58"/>
  <c r="BB37" i="58"/>
  <c r="BL35" i="58"/>
  <c r="BN37" i="58"/>
  <c r="BX35" i="58"/>
  <c r="BZ37" i="58"/>
  <c r="CH35" i="58"/>
  <c r="CN35" i="58"/>
  <c r="DR35" i="58"/>
  <c r="DX35" i="58"/>
  <c r="FB35" i="58"/>
  <c r="S36" i="58"/>
  <c r="CX12" i="58"/>
  <c r="CL37" i="58"/>
  <c r="BB11" i="58"/>
  <c r="AP36" i="58"/>
  <c r="P35" i="58"/>
  <c r="R37" i="58"/>
  <c r="Q36" i="58"/>
  <c r="AB35" i="58"/>
  <c r="AD37" i="58"/>
  <c r="AN35" i="58"/>
  <c r="AY35" i="58"/>
  <c r="BB38" i="58"/>
  <c r="BA37" i="58"/>
  <c r="BK35" i="58"/>
  <c r="BN38" i="58"/>
  <c r="BM37" i="58"/>
  <c r="BW35" i="58"/>
  <c r="BZ38" i="58"/>
  <c r="BY37" i="58"/>
  <c r="CL38" i="58"/>
  <c r="DG35" i="58"/>
  <c r="DI37" i="58"/>
  <c r="DV38" i="58"/>
  <c r="EQ35" i="58"/>
  <c r="ES37" i="58"/>
  <c r="BA10" i="58"/>
  <c r="AO35" i="58"/>
  <c r="BX11" i="58"/>
  <c r="BL36" i="58"/>
  <c r="BC10" i="58"/>
  <c r="AQ35" i="58"/>
  <c r="R38" i="58"/>
  <c r="Q37" i="58"/>
  <c r="AA35" i="58"/>
  <c r="AD38" i="58"/>
  <c r="AC37" i="58"/>
  <c r="AM35" i="58"/>
  <c r="AP38" i="58"/>
  <c r="AX35" i="58"/>
  <c r="AZ36" i="58"/>
  <c r="BJ35" i="58"/>
  <c r="BV35" i="58"/>
  <c r="CB35" i="58"/>
  <c r="DF35" i="58"/>
  <c r="DL35" i="58"/>
  <c r="EP35" i="58"/>
  <c r="EV35" i="58"/>
  <c r="N35" i="58"/>
  <c r="H35" i="58"/>
  <c r="Z35" i="58"/>
  <c r="T35" i="58"/>
  <c r="AL35" i="58"/>
  <c r="AF35" i="58"/>
  <c r="CU35" i="58"/>
  <c r="CW37" i="58"/>
  <c r="DJ38" i="58"/>
  <c r="EE35" i="58"/>
  <c r="EG37" i="58"/>
  <c r="ET38" i="58"/>
  <c r="AA11" i="58"/>
  <c r="Z13" i="58"/>
  <c r="Z12" i="58"/>
  <c r="K10" i="58"/>
  <c r="K35" i="58" s="1"/>
  <c r="B7" i="58"/>
  <c r="B8" i="58" s="1"/>
  <c r="B1" i="58"/>
  <c r="C1" i="58"/>
  <c r="D1" i="58"/>
  <c r="C10" i="58"/>
  <c r="C35" i="58" s="1"/>
  <c r="B11" i="58"/>
  <c r="B12" i="58"/>
  <c r="B13" i="58"/>
  <c r="B14" i="26"/>
  <c r="D24" i="54"/>
  <c r="C21" i="54"/>
  <c r="C18" i="54"/>
  <c r="D75" i="26"/>
  <c r="BA11" i="58" l="1"/>
  <c r="AO36" i="58"/>
  <c r="DH10" i="58"/>
  <c r="CV35" i="58"/>
  <c r="AM12" i="58"/>
  <c r="AA37" i="58"/>
  <c r="AN12" i="58"/>
  <c r="AB37" i="58"/>
  <c r="AP10" i="58"/>
  <c r="AD35" i="58"/>
  <c r="BO11" i="58"/>
  <c r="BC36" i="58"/>
  <c r="BC13" i="58"/>
  <c r="AQ38" i="58"/>
  <c r="AB38" i="58"/>
  <c r="AN13" i="58"/>
  <c r="AL12" i="58"/>
  <c r="Z37" i="58"/>
  <c r="BM10" i="58"/>
  <c r="BA35" i="58"/>
  <c r="AL13" i="58"/>
  <c r="Z38" i="58"/>
  <c r="DJ12" i="58"/>
  <c r="CX37" i="58"/>
  <c r="AY13" i="58"/>
  <c r="AM38" i="58"/>
  <c r="AM11" i="58"/>
  <c r="AA36" i="58"/>
  <c r="BO10" i="58"/>
  <c r="BC35" i="58"/>
  <c r="CJ11" i="58"/>
  <c r="BX36" i="58"/>
  <c r="BN11" i="58"/>
  <c r="BB36" i="58"/>
  <c r="BO12" i="58"/>
  <c r="BC37" i="58"/>
  <c r="Z36" i="58"/>
  <c r="AL11" i="58"/>
  <c r="AO13" i="58"/>
  <c r="AC38" i="58"/>
  <c r="W10" i="58"/>
  <c r="I10" i="58"/>
  <c r="I35" i="58" s="1"/>
  <c r="C13" i="58"/>
  <c r="C38" i="58" s="1"/>
  <c r="H13" i="58"/>
  <c r="H38" i="58" s="1"/>
  <c r="C12" i="58"/>
  <c r="C37" i="58" s="1"/>
  <c r="H12" i="58"/>
  <c r="H37" i="58" s="1"/>
  <c r="C11" i="58"/>
  <c r="C36" i="58" s="1"/>
  <c r="H11" i="58"/>
  <c r="H36" i="58" s="1"/>
  <c r="L10" i="58"/>
  <c r="L35" i="58" s="1"/>
  <c r="B14" i="58"/>
  <c r="D10" i="58"/>
  <c r="D35" i="58" s="1"/>
  <c r="T17" i="60"/>
  <c r="T19" i="60"/>
  <c r="T16" i="60"/>
  <c r="S17" i="60"/>
  <c r="S18" i="60"/>
  <c r="T18" i="60" s="1"/>
  <c r="T20" i="60" s="1"/>
  <c r="S19" i="60"/>
  <c r="S16" i="60"/>
  <c r="Q17" i="60"/>
  <c r="Q18" i="60"/>
  <c r="Q19" i="60"/>
  <c r="Q16" i="60"/>
  <c r="O17" i="60"/>
  <c r="O18" i="60"/>
  <c r="O19" i="60"/>
  <c r="O16" i="60"/>
  <c r="AX12" i="58" l="1"/>
  <c r="AL37" i="58"/>
  <c r="AZ13" i="58"/>
  <c r="AN38" i="58"/>
  <c r="BA13" i="58"/>
  <c r="AO38" i="58"/>
  <c r="BZ11" i="58"/>
  <c r="BN36" i="58"/>
  <c r="AY11" i="58"/>
  <c r="AM36" i="58"/>
  <c r="AX13" i="58"/>
  <c r="AL38" i="58"/>
  <c r="BB10" i="58"/>
  <c r="AP35" i="58"/>
  <c r="DT10" i="58"/>
  <c r="DH35" i="58"/>
  <c r="CA12" i="58"/>
  <c r="BO37" i="58"/>
  <c r="DV12" i="58"/>
  <c r="DJ37" i="58"/>
  <c r="AY12" i="58"/>
  <c r="AM37" i="58"/>
  <c r="AX11" i="58"/>
  <c r="AL36" i="58"/>
  <c r="BY10" i="58"/>
  <c r="BM35" i="58"/>
  <c r="BO13" i="58"/>
  <c r="BC38" i="58"/>
  <c r="BM11" i="58"/>
  <c r="BA36" i="58"/>
  <c r="AI10" i="58"/>
  <c r="W35" i="58"/>
  <c r="CA10" i="58"/>
  <c r="BO35" i="58"/>
  <c r="CA11" i="58"/>
  <c r="BO36" i="58"/>
  <c r="CV11" i="58"/>
  <c r="CJ36" i="58"/>
  <c r="BK13" i="58"/>
  <c r="AY38" i="58"/>
  <c r="AZ12" i="58"/>
  <c r="AN37" i="58"/>
  <c r="K13" i="58"/>
  <c r="K38" i="58" s="1"/>
  <c r="T13" i="58"/>
  <c r="X10" i="58"/>
  <c r="U10" i="58"/>
  <c r="T11" i="58"/>
  <c r="K12" i="58"/>
  <c r="K37" i="58" s="1"/>
  <c r="T12" i="58"/>
  <c r="D12" i="58"/>
  <c r="D37" i="58" s="1"/>
  <c r="I12" i="58"/>
  <c r="I37" i="58" s="1"/>
  <c r="J10" i="58"/>
  <c r="J35" i="58" s="1"/>
  <c r="D11" i="58"/>
  <c r="D36" i="58" s="1"/>
  <c r="I11" i="58"/>
  <c r="I36" i="58" s="1"/>
  <c r="K11" i="58"/>
  <c r="K36" i="58" s="1"/>
  <c r="H14" i="58"/>
  <c r="T14" i="58" s="1"/>
  <c r="AF14" i="58" s="1"/>
  <c r="AR14" i="58" s="1"/>
  <c r="BD14" i="58" s="1"/>
  <c r="BP14" i="58" s="1"/>
  <c r="CB14" i="58" s="1"/>
  <c r="CN14" i="58" s="1"/>
  <c r="CZ14" i="58" s="1"/>
  <c r="DL14" i="58" s="1"/>
  <c r="DX14" i="58" s="1"/>
  <c r="EJ14" i="58" s="1"/>
  <c r="EV14" i="58" s="1"/>
  <c r="FH14" i="58" s="1"/>
  <c r="C14" i="58"/>
  <c r="D13" i="58"/>
  <c r="D38" i="58" s="1"/>
  <c r="I13" i="58"/>
  <c r="I38" i="58" s="1"/>
  <c r="C20" i="54"/>
  <c r="D19" i="54"/>
  <c r="C23" i="43"/>
  <c r="D29" i="61"/>
  <c r="D28" i="61"/>
  <c r="D27" i="61"/>
  <c r="D25" i="61"/>
  <c r="D24" i="61"/>
  <c r="D23" i="61"/>
  <c r="D22" i="61"/>
  <c r="D21" i="61"/>
  <c r="D20" i="61"/>
  <c r="D19" i="61"/>
  <c r="D18" i="61"/>
  <c r="D16" i="61"/>
  <c r="D15" i="61"/>
  <c r="D14" i="61"/>
  <c r="D13" i="61"/>
  <c r="D12" i="61"/>
  <c r="D11" i="61"/>
  <c r="D9" i="61"/>
  <c r="D8" i="61"/>
  <c r="D7" i="61"/>
  <c r="D6" i="61"/>
  <c r="D5" i="61"/>
  <c r="D4" i="61"/>
  <c r="C17" i="60"/>
  <c r="D17" i="60"/>
  <c r="E17" i="60"/>
  <c r="F17" i="60"/>
  <c r="G17" i="60"/>
  <c r="H17" i="60"/>
  <c r="I17" i="60"/>
  <c r="J17" i="60"/>
  <c r="K17" i="60"/>
  <c r="L17" i="60"/>
  <c r="M17" i="60"/>
  <c r="C18" i="60"/>
  <c r="D18" i="60"/>
  <c r="E18" i="60"/>
  <c r="F18" i="60"/>
  <c r="G18" i="60"/>
  <c r="H18" i="60"/>
  <c r="I18" i="60"/>
  <c r="J18" i="60"/>
  <c r="K18" i="60"/>
  <c r="L18" i="60"/>
  <c r="M18" i="60"/>
  <c r="C19" i="60"/>
  <c r="D19" i="60"/>
  <c r="E19" i="60"/>
  <c r="F19" i="60"/>
  <c r="G19" i="60"/>
  <c r="H19" i="60"/>
  <c r="I19" i="60"/>
  <c r="J19" i="60"/>
  <c r="K19" i="60"/>
  <c r="L19" i="60"/>
  <c r="M19" i="60"/>
  <c r="B18" i="60"/>
  <c r="B19" i="60"/>
  <c r="B17" i="60"/>
  <c r="C16" i="60"/>
  <c r="D16" i="60"/>
  <c r="E16" i="60"/>
  <c r="F16" i="60"/>
  <c r="G16" i="60"/>
  <c r="H16" i="60"/>
  <c r="I16" i="60"/>
  <c r="J16" i="60"/>
  <c r="K16" i="60"/>
  <c r="L16" i="60"/>
  <c r="M16" i="60"/>
  <c r="B16" i="60"/>
  <c r="D38" i="54"/>
  <c r="H25" i="54"/>
  <c r="G17" i="54"/>
  <c r="C16" i="54"/>
  <c r="C15" i="54"/>
  <c r="D15" i="54" s="1"/>
  <c r="D74" i="26"/>
  <c r="D73" i="26"/>
  <c r="D72" i="26"/>
  <c r="D71" i="26"/>
  <c r="D70" i="26"/>
  <c r="C69" i="26"/>
  <c r="C68" i="26"/>
  <c r="C67" i="26"/>
  <c r="C66" i="26"/>
  <c r="C65" i="26"/>
  <c r="C64" i="26"/>
  <c r="C63" i="26"/>
  <c r="C62" i="26"/>
  <c r="C61" i="26"/>
  <c r="C60" i="26"/>
  <c r="C59" i="26"/>
  <c r="B54" i="26"/>
  <c r="B55" i="26" s="1"/>
  <c r="B50" i="26"/>
  <c r="B51" i="26" s="1"/>
  <c r="B39" i="26"/>
  <c r="B38" i="26"/>
  <c r="B37" i="26"/>
  <c r="B36" i="26"/>
  <c r="I22" i="43" s="1"/>
  <c r="B43" i="54" l="1"/>
  <c r="BL12" i="58"/>
  <c r="AZ37" i="58"/>
  <c r="BJ13" i="58"/>
  <c r="AX38" i="58"/>
  <c r="AJ10" i="58"/>
  <c r="X35" i="58"/>
  <c r="BW13" i="58"/>
  <c r="BK38" i="58"/>
  <c r="CM10" i="58"/>
  <c r="CA35" i="58"/>
  <c r="BO38" i="58"/>
  <c r="CA13" i="58"/>
  <c r="BK12" i="58"/>
  <c r="AY37" i="58"/>
  <c r="EF10" i="58"/>
  <c r="DT35" i="58"/>
  <c r="BK11" i="58"/>
  <c r="AY36" i="58"/>
  <c r="BL13" i="58"/>
  <c r="AZ38" i="58"/>
  <c r="BJ11" i="58"/>
  <c r="AX36" i="58"/>
  <c r="AF13" i="58"/>
  <c r="T38" i="58"/>
  <c r="BY11" i="58"/>
  <c r="BM36" i="58"/>
  <c r="AF12" i="58"/>
  <c r="T37" i="58"/>
  <c r="DH11" i="58"/>
  <c r="CV36" i="58"/>
  <c r="AU10" i="58"/>
  <c r="AI35" i="58"/>
  <c r="CK10" i="58"/>
  <c r="BY35" i="58"/>
  <c r="EH12" i="58"/>
  <c r="DV37" i="58"/>
  <c r="BN10" i="58"/>
  <c r="BB35" i="58"/>
  <c r="CL11" i="58"/>
  <c r="BZ36" i="58"/>
  <c r="BJ12" i="58"/>
  <c r="AX37" i="58"/>
  <c r="AF11" i="58"/>
  <c r="T36" i="58"/>
  <c r="CM11" i="58"/>
  <c r="CA36" i="58"/>
  <c r="CM12" i="58"/>
  <c r="CA37" i="58"/>
  <c r="BM13" i="58"/>
  <c r="BA38" i="58"/>
  <c r="AG10" i="58"/>
  <c r="U35" i="58"/>
  <c r="K14" i="58"/>
  <c r="W14" i="58" s="1"/>
  <c r="AI14" i="58" s="1"/>
  <c r="AU14" i="58" s="1"/>
  <c r="BG14" i="58" s="1"/>
  <c r="BS14" i="58" s="1"/>
  <c r="CE14" i="58" s="1"/>
  <c r="CQ14" i="58" s="1"/>
  <c r="DC14" i="58" s="1"/>
  <c r="DO14" i="58" s="1"/>
  <c r="EA14" i="58" s="1"/>
  <c r="EM14" i="58" s="1"/>
  <c r="EY14" i="58" s="1"/>
  <c r="FK14" i="58" s="1"/>
  <c r="W11" i="58"/>
  <c r="J12" i="58"/>
  <c r="J37" i="58" s="1"/>
  <c r="U11" i="58"/>
  <c r="L13" i="58"/>
  <c r="L38" i="58" s="1"/>
  <c r="U13" i="58"/>
  <c r="J11" i="58"/>
  <c r="J36" i="58" s="1"/>
  <c r="J13" i="58"/>
  <c r="J38" i="58" s="1"/>
  <c r="V10" i="58"/>
  <c r="W12" i="58"/>
  <c r="L12" i="58"/>
  <c r="L37" i="58" s="1"/>
  <c r="U12" i="58"/>
  <c r="W13" i="58"/>
  <c r="M10" i="58"/>
  <c r="M35" i="58" s="1"/>
  <c r="D14" i="58"/>
  <c r="L11" i="58"/>
  <c r="L36" i="58" s="1"/>
  <c r="I14" i="58"/>
  <c r="U14" i="58" s="1"/>
  <c r="AG14" i="58" s="1"/>
  <c r="AS14" i="58" s="1"/>
  <c r="BE14" i="58" s="1"/>
  <c r="BQ14" i="58" s="1"/>
  <c r="CC14" i="58" s="1"/>
  <c r="CO14" i="58" s="1"/>
  <c r="DA14" i="58" s="1"/>
  <c r="DM14" i="58" s="1"/>
  <c r="DY14" i="58" s="1"/>
  <c r="EK14" i="58" s="1"/>
  <c r="EW14" i="58" s="1"/>
  <c r="FI14" i="58" s="1"/>
  <c r="C14" i="54"/>
  <c r="D14" i="54" s="1"/>
  <c r="D16" i="54"/>
  <c r="D23" i="43"/>
  <c r="E23" i="43" s="1"/>
  <c r="F23" i="43" s="1"/>
  <c r="G23" i="43" s="1"/>
  <c r="B16" i="26"/>
  <c r="B24" i="54"/>
  <c r="H21" i="54"/>
  <c r="E23" i="61"/>
  <c r="F23" i="61" s="1"/>
  <c r="E20" i="61"/>
  <c r="F20" i="61" s="1"/>
  <c r="E18" i="61"/>
  <c r="F18" i="61" s="1"/>
  <c r="E16" i="61"/>
  <c r="F16" i="61" s="1"/>
  <c r="E15" i="61"/>
  <c r="F15" i="61" s="1"/>
  <c r="E14" i="61"/>
  <c r="F14" i="61" s="1"/>
  <c r="E13" i="61"/>
  <c r="F13" i="61" s="1"/>
  <c r="E12" i="61"/>
  <c r="F12" i="61" s="1"/>
  <c r="E11" i="61"/>
  <c r="F11" i="61" s="1"/>
  <c r="E9" i="61"/>
  <c r="F9" i="61" s="1"/>
  <c r="E8" i="61"/>
  <c r="F8" i="61" s="1"/>
  <c r="E7" i="61"/>
  <c r="F7" i="61" s="1"/>
  <c r="E6" i="61"/>
  <c r="F6" i="61" s="1"/>
  <c r="E5" i="61"/>
  <c r="F5" i="61" s="1"/>
  <c r="E4" i="61"/>
  <c r="F4" i="61" s="1"/>
  <c r="E173" i="55"/>
  <c r="D173" i="55"/>
  <c r="C173" i="55"/>
  <c r="B173" i="55"/>
  <c r="E172" i="55"/>
  <c r="D172" i="55"/>
  <c r="C172" i="55"/>
  <c r="B172" i="55"/>
  <c r="E170" i="55"/>
  <c r="D170" i="55"/>
  <c r="C170" i="55"/>
  <c r="B170" i="55"/>
  <c r="A170" i="55"/>
  <c r="E169" i="55"/>
  <c r="D169" i="55"/>
  <c r="C169" i="55"/>
  <c r="B169" i="55"/>
  <c r="A169" i="55"/>
  <c r="E168" i="55"/>
  <c r="D168" i="55"/>
  <c r="C168" i="55"/>
  <c r="B168" i="55"/>
  <c r="A168" i="55"/>
  <c r="E167" i="55"/>
  <c r="D167" i="55"/>
  <c r="C167" i="55"/>
  <c r="B167" i="55"/>
  <c r="A167" i="55"/>
  <c r="E166" i="55"/>
  <c r="C164" i="55"/>
  <c r="A164" i="55"/>
  <c r="C163" i="55"/>
  <c r="A163" i="55"/>
  <c r="D166" i="55" s="1"/>
  <c r="C162" i="55"/>
  <c r="A162" i="55"/>
  <c r="C166" i="55" s="1"/>
  <c r="C161" i="55"/>
  <c r="A161" i="55"/>
  <c r="B166" i="55" s="1"/>
  <c r="F134" i="55"/>
  <c r="D134" i="55"/>
  <c r="F133" i="55"/>
  <c r="D133" i="55"/>
  <c r="F132" i="55"/>
  <c r="D132" i="55"/>
  <c r="F131" i="55"/>
  <c r="D131" i="55"/>
  <c r="F130" i="55"/>
  <c r="D130" i="55"/>
  <c r="F129" i="55"/>
  <c r="D129" i="55"/>
  <c r="F128" i="55"/>
  <c r="D128" i="55"/>
  <c r="F127" i="55"/>
  <c r="D127" i="55"/>
  <c r="F126" i="55"/>
  <c r="D126" i="55"/>
  <c r="F125" i="55"/>
  <c r="D125" i="55"/>
  <c r="F124" i="55"/>
  <c r="D124" i="55"/>
  <c r="F123" i="55"/>
  <c r="D123" i="55"/>
  <c r="F122" i="55"/>
  <c r="D122" i="55"/>
  <c r="F121" i="55"/>
  <c r="D121" i="55"/>
  <c r="F120" i="55"/>
  <c r="D120" i="55"/>
  <c r="F119" i="55"/>
  <c r="D119" i="55"/>
  <c r="F118" i="55"/>
  <c r="D118" i="55"/>
  <c r="F117" i="55"/>
  <c r="D117" i="55"/>
  <c r="F116" i="55"/>
  <c r="D116" i="55"/>
  <c r="F115" i="55"/>
  <c r="D115" i="55"/>
  <c r="F114" i="55"/>
  <c r="D114" i="55"/>
  <c r="D113" i="55"/>
  <c r="E21" i="39"/>
  <c r="A10" i="39"/>
  <c r="A9" i="39"/>
  <c r="A8" i="39"/>
  <c r="A7" i="39"/>
  <c r="A6" i="39"/>
  <c r="A5" i="39"/>
  <c r="A4" i="39"/>
  <c r="A3" i="39"/>
  <c r="Q1" i="39"/>
  <c r="P1" i="39"/>
  <c r="O1" i="39"/>
  <c r="N1" i="39"/>
  <c r="M1" i="39"/>
  <c r="L1" i="39"/>
  <c r="K1" i="39"/>
  <c r="J1" i="39"/>
  <c r="I1" i="39"/>
  <c r="H1" i="39"/>
  <c r="G1" i="39"/>
  <c r="F1" i="39"/>
  <c r="E1" i="39"/>
  <c r="D1" i="39"/>
  <c r="C1" i="39"/>
  <c r="B20" i="38"/>
  <c r="C3" i="38"/>
  <c r="D3" i="38" s="1"/>
  <c r="B3" i="38"/>
  <c r="B2" i="39" s="1"/>
  <c r="R40" i="43"/>
  <c r="Q40" i="43"/>
  <c r="P40" i="43"/>
  <c r="O40" i="43"/>
  <c r="N40" i="43"/>
  <c r="M40" i="43"/>
  <c r="L40" i="43"/>
  <c r="K40" i="43"/>
  <c r="J40" i="43"/>
  <c r="I40" i="43"/>
  <c r="H40" i="43"/>
  <c r="G40" i="43"/>
  <c r="F40" i="43"/>
  <c r="E40" i="43"/>
  <c r="D40" i="43"/>
  <c r="C40" i="43"/>
  <c r="B40" i="43"/>
  <c r="Q34" i="43"/>
  <c r="Q6" i="38" s="1"/>
  <c r="Q7" i="39" s="1"/>
  <c r="Q11" i="39" s="1"/>
  <c r="P34" i="43"/>
  <c r="P6" i="38" s="1"/>
  <c r="P7" i="39" s="1"/>
  <c r="P11" i="39" s="1"/>
  <c r="O34" i="43"/>
  <c r="O6" i="38" s="1"/>
  <c r="O7" i="39" s="1"/>
  <c r="O11" i="39" s="1"/>
  <c r="N34" i="43"/>
  <c r="N6" i="38" s="1"/>
  <c r="N7" i="39" s="1"/>
  <c r="N11" i="39" s="1"/>
  <c r="M34" i="43"/>
  <c r="M6" i="38" s="1"/>
  <c r="M7" i="39" s="1"/>
  <c r="M11" i="39" s="1"/>
  <c r="Q33" i="43"/>
  <c r="P33" i="43"/>
  <c r="O33" i="43"/>
  <c r="N33" i="43"/>
  <c r="M33" i="43"/>
  <c r="D33" i="43"/>
  <c r="C33" i="43"/>
  <c r="B33" i="43"/>
  <c r="D28" i="43"/>
  <c r="E28" i="43" s="1"/>
  <c r="F28" i="43" s="1"/>
  <c r="G28" i="43" s="1"/>
  <c r="H28" i="43" s="1"/>
  <c r="I28" i="43" s="1"/>
  <c r="J28" i="43" s="1"/>
  <c r="K28" i="43" s="1"/>
  <c r="L28" i="43" s="1"/>
  <c r="M28" i="43" s="1"/>
  <c r="N28" i="43" s="1"/>
  <c r="O28" i="43" s="1"/>
  <c r="P28" i="43" s="1"/>
  <c r="Q28" i="43" s="1"/>
  <c r="C28" i="43"/>
  <c r="B28" i="43"/>
  <c r="D24" i="43"/>
  <c r="E24" i="43" s="1"/>
  <c r="F24" i="43" s="1"/>
  <c r="G24" i="43" s="1"/>
  <c r="H24" i="43" s="1"/>
  <c r="I24" i="43" s="1"/>
  <c r="J24" i="43" s="1"/>
  <c r="K24" i="43" s="1"/>
  <c r="L24" i="43" s="1"/>
  <c r="M24" i="43" s="1"/>
  <c r="N24" i="43" s="1"/>
  <c r="O24" i="43" s="1"/>
  <c r="P24" i="43" s="1"/>
  <c r="Q24" i="43" s="1"/>
  <c r="C24" i="43"/>
  <c r="B24" i="43"/>
  <c r="Q22" i="43"/>
  <c r="P22" i="43"/>
  <c r="O22" i="43"/>
  <c r="N22" i="43"/>
  <c r="M22" i="43"/>
  <c r="L22" i="43"/>
  <c r="K22" i="43"/>
  <c r="J22" i="43"/>
  <c r="H22" i="43"/>
  <c r="G22" i="43"/>
  <c r="F22" i="43"/>
  <c r="E22" i="43"/>
  <c r="D22" i="43"/>
  <c r="C22" i="43"/>
  <c r="A19" i="43"/>
  <c r="Q1" i="43"/>
  <c r="P1" i="43"/>
  <c r="O1" i="43"/>
  <c r="N1" i="43"/>
  <c r="M1" i="43"/>
  <c r="L1" i="43"/>
  <c r="K1" i="43"/>
  <c r="J1" i="43"/>
  <c r="I1" i="43"/>
  <c r="H1" i="43"/>
  <c r="G1" i="43"/>
  <c r="F1" i="43"/>
  <c r="E1" i="43"/>
  <c r="D1" i="43"/>
  <c r="C1" i="43"/>
  <c r="B1" i="43"/>
  <c r="E29" i="61"/>
  <c r="F29" i="61" s="1"/>
  <c r="C28" i="61"/>
  <c r="E28" i="61" s="1"/>
  <c r="F28" i="61" s="1"/>
  <c r="E27" i="61"/>
  <c r="F27" i="61" s="1"/>
  <c r="E25" i="61"/>
  <c r="F25" i="61" s="1"/>
  <c r="E24" i="61"/>
  <c r="F24" i="61" s="1"/>
  <c r="E22" i="61"/>
  <c r="F22" i="61" s="1"/>
  <c r="E21" i="61"/>
  <c r="F21" i="61" s="1"/>
  <c r="E19" i="61"/>
  <c r="F19" i="61" s="1"/>
  <c r="D25" i="57"/>
  <c r="C25" i="57"/>
  <c r="B25" i="57"/>
  <c r="D24" i="57"/>
  <c r="C24" i="57"/>
  <c r="B24" i="57"/>
  <c r="L23" i="57"/>
  <c r="K23" i="57"/>
  <c r="J23" i="57"/>
  <c r="I23" i="57"/>
  <c r="H23" i="57"/>
  <c r="G23" i="57"/>
  <c r="F23" i="57"/>
  <c r="E23" i="57"/>
  <c r="D23" i="57"/>
  <c r="C23" i="57"/>
  <c r="L21" i="57"/>
  <c r="K21" i="57"/>
  <c r="J21" i="57"/>
  <c r="I21" i="57"/>
  <c r="H21" i="57"/>
  <c r="G21" i="57"/>
  <c r="F21" i="57"/>
  <c r="E21" i="57"/>
  <c r="D21" i="57"/>
  <c r="C21" i="57"/>
  <c r="B21" i="57"/>
  <c r="B16" i="57"/>
  <c r="B15" i="57"/>
  <c r="DX7" i="57"/>
  <c r="DW7" i="57"/>
  <c r="DV7" i="57"/>
  <c r="DU7" i="57"/>
  <c r="DT7" i="57"/>
  <c r="DS7" i="57"/>
  <c r="DR7" i="57"/>
  <c r="AK7" i="57"/>
  <c r="AJ7" i="57"/>
  <c r="AI7" i="57"/>
  <c r="AH7" i="57"/>
  <c r="AG7" i="57"/>
  <c r="AF7" i="57"/>
  <c r="AE7" i="57"/>
  <c r="AD7" i="57"/>
  <c r="AC7" i="57"/>
  <c r="AB7" i="57"/>
  <c r="AA7" i="57"/>
  <c r="Z7" i="57"/>
  <c r="Y7" i="57"/>
  <c r="X7" i="57"/>
  <c r="W7" i="57"/>
  <c r="V7" i="57"/>
  <c r="U7" i="57"/>
  <c r="T7" i="57"/>
  <c r="S7" i="57"/>
  <c r="R7" i="57"/>
  <c r="Q7" i="57"/>
  <c r="P7" i="57"/>
  <c r="O7" i="57"/>
  <c r="N7" i="57"/>
  <c r="M7" i="57"/>
  <c r="L7" i="57"/>
  <c r="K7" i="57"/>
  <c r="J7" i="57"/>
  <c r="I7" i="57"/>
  <c r="H7" i="57"/>
  <c r="G7" i="57"/>
  <c r="F7" i="57"/>
  <c r="E7" i="57"/>
  <c r="D7" i="57"/>
  <c r="C7" i="57"/>
  <c r="B7" i="57"/>
  <c r="DX1" i="57"/>
  <c r="DW1" i="57"/>
  <c r="DV1" i="57"/>
  <c r="DU1" i="57"/>
  <c r="DT1" i="57"/>
  <c r="DS1" i="57"/>
  <c r="DR1" i="57"/>
  <c r="DQ1" i="57"/>
  <c r="DP1" i="57"/>
  <c r="DO1" i="57"/>
  <c r="DN1" i="57"/>
  <c r="DM1" i="57"/>
  <c r="DL1" i="57"/>
  <c r="DK1" i="57"/>
  <c r="DJ1" i="57"/>
  <c r="DI1" i="57"/>
  <c r="DH1" i="57"/>
  <c r="DG1" i="57"/>
  <c r="DF1" i="57"/>
  <c r="DE1" i="57"/>
  <c r="DD1" i="57"/>
  <c r="DC1" i="57"/>
  <c r="DB1" i="57"/>
  <c r="DA1" i="57"/>
  <c r="CZ1" i="57"/>
  <c r="CY1" i="57"/>
  <c r="CX1" i="57"/>
  <c r="CW1" i="57"/>
  <c r="CV1" i="57"/>
  <c r="CU1" i="57"/>
  <c r="CT1" i="57"/>
  <c r="CS1" i="57"/>
  <c r="CR1" i="57"/>
  <c r="CQ1" i="57"/>
  <c r="CP1" i="57"/>
  <c r="CO1" i="57"/>
  <c r="CN1" i="57"/>
  <c r="CM1" i="57"/>
  <c r="CL1" i="57"/>
  <c r="CK1" i="57"/>
  <c r="CJ1" i="57"/>
  <c r="CI1" i="57"/>
  <c r="CH1" i="57"/>
  <c r="CG1" i="57"/>
  <c r="CF1" i="57"/>
  <c r="CE1" i="57"/>
  <c r="CD1" i="57"/>
  <c r="CC1" i="57"/>
  <c r="CB1" i="57"/>
  <c r="CA1" i="57"/>
  <c r="BZ1" i="57"/>
  <c r="BY1" i="57"/>
  <c r="BX1" i="57"/>
  <c r="BW1" i="57"/>
  <c r="BV1" i="57"/>
  <c r="BU1" i="57"/>
  <c r="BT1" i="57"/>
  <c r="BS1" i="57"/>
  <c r="BR1" i="57"/>
  <c r="BQ1" i="57"/>
  <c r="BP1" i="57"/>
  <c r="BO1" i="57"/>
  <c r="BN1" i="57"/>
  <c r="BM1" i="57"/>
  <c r="BL1" i="57"/>
  <c r="BK1" i="57"/>
  <c r="BJ1" i="57"/>
  <c r="BI1" i="57"/>
  <c r="BH1" i="57"/>
  <c r="BG1" i="57"/>
  <c r="BF1" i="57"/>
  <c r="BE1" i="57"/>
  <c r="BD1" i="57"/>
  <c r="BC1" i="57"/>
  <c r="BB1" i="57"/>
  <c r="BA1" i="57"/>
  <c r="AZ1" i="57"/>
  <c r="AY1" i="57"/>
  <c r="AX1" i="57"/>
  <c r="AW1" i="57"/>
  <c r="AV1" i="57"/>
  <c r="AU1" i="57"/>
  <c r="AT1" i="57"/>
  <c r="AS1" i="57"/>
  <c r="AR1" i="57"/>
  <c r="AQ1" i="57"/>
  <c r="AP1" i="57"/>
  <c r="AO1" i="57"/>
  <c r="AN1" i="57"/>
  <c r="AM1" i="57"/>
  <c r="AL1" i="57"/>
  <c r="AK1" i="57"/>
  <c r="AJ1" i="57"/>
  <c r="AI1" i="57"/>
  <c r="AH1" i="57"/>
  <c r="AG1" i="57"/>
  <c r="AF1" i="57"/>
  <c r="AE1" i="57"/>
  <c r="AD1" i="57"/>
  <c r="AC1" i="57"/>
  <c r="AB1" i="57"/>
  <c r="AA1" i="57"/>
  <c r="Z1" i="57"/>
  <c r="Y1" i="57"/>
  <c r="X1" i="57"/>
  <c r="W1" i="57"/>
  <c r="V1" i="57"/>
  <c r="U1" i="57"/>
  <c r="T1" i="57"/>
  <c r="S1" i="57"/>
  <c r="R1" i="57"/>
  <c r="Q1" i="57"/>
  <c r="P1" i="57"/>
  <c r="O1" i="57"/>
  <c r="N1" i="57"/>
  <c r="M1" i="57"/>
  <c r="L1" i="57"/>
  <c r="K1" i="57"/>
  <c r="J1" i="57"/>
  <c r="I1" i="57"/>
  <c r="H1" i="57"/>
  <c r="G1" i="57"/>
  <c r="F1" i="57"/>
  <c r="E1" i="57"/>
  <c r="D1" i="57"/>
  <c r="C1" i="57"/>
  <c r="B1" i="57"/>
  <c r="Q1" i="62"/>
  <c r="P1" i="62"/>
  <c r="O1" i="62"/>
  <c r="N1" i="62"/>
  <c r="M1" i="62"/>
  <c r="L1" i="62"/>
  <c r="K1" i="62"/>
  <c r="J1" i="62"/>
  <c r="I1" i="62"/>
  <c r="H1" i="62"/>
  <c r="G1" i="62"/>
  <c r="F1" i="62"/>
  <c r="E1" i="62"/>
  <c r="D1" i="62"/>
  <c r="C1" i="62"/>
  <c r="B1" i="62"/>
  <c r="M119" i="60"/>
  <c r="L119" i="60"/>
  <c r="K119" i="60"/>
  <c r="J119" i="60"/>
  <c r="I119" i="60"/>
  <c r="H119" i="60"/>
  <c r="G119" i="60"/>
  <c r="F119" i="60"/>
  <c r="E119" i="60"/>
  <c r="D119" i="60"/>
  <c r="C119" i="60"/>
  <c r="B119" i="60"/>
  <c r="M112" i="60"/>
  <c r="L112" i="60"/>
  <c r="K112" i="60"/>
  <c r="J112" i="60"/>
  <c r="I112" i="60"/>
  <c r="H112" i="60"/>
  <c r="G112" i="60"/>
  <c r="F112" i="60"/>
  <c r="E112" i="60"/>
  <c r="D112" i="60"/>
  <c r="C112" i="60"/>
  <c r="B112" i="60"/>
  <c r="M105" i="60"/>
  <c r="L105" i="60"/>
  <c r="K105" i="60"/>
  <c r="J105" i="60"/>
  <c r="I105" i="60"/>
  <c r="H105" i="60"/>
  <c r="G105" i="60"/>
  <c r="F105" i="60"/>
  <c r="E105" i="60"/>
  <c r="D105" i="60"/>
  <c r="C105" i="60"/>
  <c r="B105" i="60"/>
  <c r="M98" i="60"/>
  <c r="L98" i="60"/>
  <c r="K98" i="60"/>
  <c r="J98" i="60"/>
  <c r="I98" i="60"/>
  <c r="H98" i="60"/>
  <c r="G98" i="60"/>
  <c r="F98" i="60"/>
  <c r="E98" i="60"/>
  <c r="D98" i="60"/>
  <c r="C98" i="60"/>
  <c r="B98" i="60"/>
  <c r="M91" i="60"/>
  <c r="L91" i="60"/>
  <c r="K91" i="60"/>
  <c r="J91" i="60"/>
  <c r="I91" i="60"/>
  <c r="H91" i="60"/>
  <c r="G91" i="60"/>
  <c r="F91" i="60"/>
  <c r="E91" i="60"/>
  <c r="D91" i="60"/>
  <c r="C91" i="60"/>
  <c r="B91" i="60"/>
  <c r="M84" i="60"/>
  <c r="L84" i="60"/>
  <c r="K84" i="60"/>
  <c r="J84" i="60"/>
  <c r="I84" i="60"/>
  <c r="H84" i="60"/>
  <c r="G84" i="60"/>
  <c r="F84" i="60"/>
  <c r="E84" i="60"/>
  <c r="D84" i="60"/>
  <c r="C84" i="60"/>
  <c r="B84" i="60"/>
  <c r="M77" i="60"/>
  <c r="L77" i="60"/>
  <c r="K77" i="60"/>
  <c r="J77" i="60"/>
  <c r="I77" i="60"/>
  <c r="H77" i="60"/>
  <c r="G77" i="60"/>
  <c r="F77" i="60"/>
  <c r="E77" i="60"/>
  <c r="D77" i="60"/>
  <c r="C77" i="60"/>
  <c r="B77" i="60"/>
  <c r="M70" i="60"/>
  <c r="L70" i="60"/>
  <c r="K70" i="60"/>
  <c r="J70" i="60"/>
  <c r="I70" i="60"/>
  <c r="H70" i="60"/>
  <c r="G70" i="60"/>
  <c r="F70" i="60"/>
  <c r="E70" i="60"/>
  <c r="D70" i="60"/>
  <c r="C70" i="60"/>
  <c r="B70" i="60"/>
  <c r="M63" i="60"/>
  <c r="L63" i="60"/>
  <c r="K63" i="60"/>
  <c r="J63" i="60"/>
  <c r="I63" i="60"/>
  <c r="H63" i="60"/>
  <c r="G63" i="60"/>
  <c r="F63" i="60"/>
  <c r="E63" i="60"/>
  <c r="D63" i="60"/>
  <c r="C63" i="60"/>
  <c r="B63" i="60"/>
  <c r="M56" i="60"/>
  <c r="L56" i="60"/>
  <c r="K56" i="60"/>
  <c r="J56" i="60"/>
  <c r="I56" i="60"/>
  <c r="H56" i="60"/>
  <c r="G56" i="60"/>
  <c r="F56" i="60"/>
  <c r="E56" i="60"/>
  <c r="D56" i="60"/>
  <c r="C56" i="60"/>
  <c r="B56" i="60"/>
  <c r="M49" i="60"/>
  <c r="L49" i="60"/>
  <c r="K49" i="60"/>
  <c r="J49" i="60"/>
  <c r="I49" i="60"/>
  <c r="H49" i="60"/>
  <c r="G49" i="60"/>
  <c r="F49" i="60"/>
  <c r="E49" i="60"/>
  <c r="D49" i="60"/>
  <c r="C49" i="60"/>
  <c r="B49" i="60"/>
  <c r="M42" i="60"/>
  <c r="L42" i="60"/>
  <c r="K42" i="60"/>
  <c r="J42" i="60"/>
  <c r="I42" i="60"/>
  <c r="H42" i="60"/>
  <c r="G42" i="60"/>
  <c r="F42" i="60"/>
  <c r="E42" i="60"/>
  <c r="D42" i="60"/>
  <c r="C42" i="60"/>
  <c r="B42" i="60"/>
  <c r="M35" i="60"/>
  <c r="L35" i="60"/>
  <c r="K35" i="60"/>
  <c r="J35" i="60"/>
  <c r="I35" i="60"/>
  <c r="H35" i="60"/>
  <c r="G35" i="60"/>
  <c r="F35" i="60"/>
  <c r="E35" i="60"/>
  <c r="D35" i="60"/>
  <c r="C35" i="60"/>
  <c r="B35" i="60"/>
  <c r="M28" i="60"/>
  <c r="L28" i="60"/>
  <c r="K28" i="60"/>
  <c r="J28" i="60"/>
  <c r="I28" i="60"/>
  <c r="H28" i="60"/>
  <c r="G28" i="60"/>
  <c r="F28" i="60"/>
  <c r="E28" i="60"/>
  <c r="D28" i="60"/>
  <c r="C28" i="60"/>
  <c r="B28" i="60"/>
  <c r="M26" i="60"/>
  <c r="L26" i="60"/>
  <c r="L33" i="60" s="1"/>
  <c r="K26" i="60"/>
  <c r="K33" i="60" s="1"/>
  <c r="J26" i="60"/>
  <c r="J33" i="60" s="1"/>
  <c r="I26" i="60"/>
  <c r="I33" i="60" s="1"/>
  <c r="H26" i="60"/>
  <c r="H33" i="60" s="1"/>
  <c r="G26" i="60"/>
  <c r="G33" i="60" s="1"/>
  <c r="F26" i="60"/>
  <c r="F33" i="60" s="1"/>
  <c r="E26" i="60"/>
  <c r="E33" i="60" s="1"/>
  <c r="D26" i="60"/>
  <c r="D33" i="60" s="1"/>
  <c r="C26" i="60"/>
  <c r="C33" i="60" s="1"/>
  <c r="B26" i="60"/>
  <c r="B33" i="60" s="1"/>
  <c r="M25" i="60"/>
  <c r="M32" i="60" s="1"/>
  <c r="L25" i="60"/>
  <c r="L32" i="60" s="1"/>
  <c r="K25" i="60"/>
  <c r="K32" i="60" s="1"/>
  <c r="J25" i="60"/>
  <c r="J32" i="60" s="1"/>
  <c r="I25" i="60"/>
  <c r="I32" i="60" s="1"/>
  <c r="H25" i="60"/>
  <c r="H32" i="60" s="1"/>
  <c r="G25" i="60"/>
  <c r="G32" i="60" s="1"/>
  <c r="F25" i="60"/>
  <c r="F32" i="60" s="1"/>
  <c r="E25" i="60"/>
  <c r="E32" i="60" s="1"/>
  <c r="D25" i="60"/>
  <c r="D32" i="60" s="1"/>
  <c r="C25" i="60"/>
  <c r="C32" i="60" s="1"/>
  <c r="B25" i="60"/>
  <c r="B32" i="60" s="1"/>
  <c r="M24" i="60"/>
  <c r="M31" i="60" s="1"/>
  <c r="L24" i="60"/>
  <c r="L31" i="60" s="1"/>
  <c r="K24" i="60"/>
  <c r="K31" i="60" s="1"/>
  <c r="J24" i="60"/>
  <c r="J31" i="60" s="1"/>
  <c r="I24" i="60"/>
  <c r="I31" i="60" s="1"/>
  <c r="H24" i="60"/>
  <c r="H31" i="60" s="1"/>
  <c r="G24" i="60"/>
  <c r="G31" i="60" s="1"/>
  <c r="F24" i="60"/>
  <c r="F31" i="60" s="1"/>
  <c r="E24" i="60"/>
  <c r="E31" i="60" s="1"/>
  <c r="D24" i="60"/>
  <c r="D31" i="60" s="1"/>
  <c r="C24" i="60"/>
  <c r="C31" i="60" s="1"/>
  <c r="B24" i="60"/>
  <c r="B31" i="60" s="1"/>
  <c r="M23" i="60"/>
  <c r="M30" i="60" s="1"/>
  <c r="L23" i="60"/>
  <c r="L30" i="60" s="1"/>
  <c r="K23" i="60"/>
  <c r="J23" i="60"/>
  <c r="J30" i="60" s="1"/>
  <c r="I23" i="60"/>
  <c r="I30" i="60" s="1"/>
  <c r="H23" i="60"/>
  <c r="H30" i="60" s="1"/>
  <c r="G23" i="60"/>
  <c r="G30" i="60" s="1"/>
  <c r="F23" i="60"/>
  <c r="F30" i="60" s="1"/>
  <c r="E23" i="60"/>
  <c r="E30" i="60" s="1"/>
  <c r="D23" i="60"/>
  <c r="D30" i="60" s="1"/>
  <c r="C23" i="60"/>
  <c r="C30" i="60" s="1"/>
  <c r="B23" i="60"/>
  <c r="B30" i="60" s="1"/>
  <c r="M21" i="60"/>
  <c r="L21" i="60"/>
  <c r="K21" i="60"/>
  <c r="J21" i="60"/>
  <c r="I21" i="60"/>
  <c r="H21" i="60"/>
  <c r="G21" i="60"/>
  <c r="F21" i="60"/>
  <c r="E21" i="60"/>
  <c r="D21" i="60"/>
  <c r="C21" i="60"/>
  <c r="B21" i="60"/>
  <c r="M14" i="60"/>
  <c r="L14" i="60"/>
  <c r="K14" i="60"/>
  <c r="J14" i="60"/>
  <c r="I14" i="60"/>
  <c r="H14" i="60"/>
  <c r="G14" i="60"/>
  <c r="F14" i="60"/>
  <c r="E14" i="60"/>
  <c r="D14" i="60"/>
  <c r="C14" i="60"/>
  <c r="B14" i="60"/>
  <c r="M12" i="60"/>
  <c r="B12" i="60" s="1"/>
  <c r="L12" i="60"/>
  <c r="K12" i="60"/>
  <c r="J12" i="60"/>
  <c r="I12" i="60"/>
  <c r="H12" i="60"/>
  <c r="G12" i="60"/>
  <c r="F12" i="60"/>
  <c r="E12" i="60"/>
  <c r="D12" i="60"/>
  <c r="C12" i="60"/>
  <c r="A12" i="60"/>
  <c r="M11" i="60"/>
  <c r="B11" i="60" s="1"/>
  <c r="L11" i="60"/>
  <c r="K11" i="60"/>
  <c r="J11" i="60"/>
  <c r="I11" i="60"/>
  <c r="H11" i="60"/>
  <c r="G11" i="60"/>
  <c r="F11" i="60"/>
  <c r="E11" i="60"/>
  <c r="D11" i="60"/>
  <c r="C11" i="60"/>
  <c r="A11" i="60"/>
  <c r="M10" i="60"/>
  <c r="L10" i="60"/>
  <c r="K10" i="60"/>
  <c r="J10" i="60"/>
  <c r="I10" i="60"/>
  <c r="H10" i="60"/>
  <c r="G10" i="60"/>
  <c r="F10" i="60"/>
  <c r="E10" i="60"/>
  <c r="D10" i="60"/>
  <c r="C10" i="60"/>
  <c r="B10" i="60"/>
  <c r="A10" i="60"/>
  <c r="M9" i="60"/>
  <c r="L9" i="60"/>
  <c r="K9" i="60"/>
  <c r="J9" i="60"/>
  <c r="I9" i="60"/>
  <c r="H9" i="60"/>
  <c r="G9" i="60"/>
  <c r="F9" i="60"/>
  <c r="E9" i="60"/>
  <c r="D9" i="60"/>
  <c r="C9" i="60"/>
  <c r="B9" i="60"/>
  <c r="A9" i="60"/>
  <c r="M8" i="60"/>
  <c r="L8" i="60"/>
  <c r="K8" i="60"/>
  <c r="J8" i="60"/>
  <c r="I8" i="60"/>
  <c r="H8" i="60"/>
  <c r="G8" i="60"/>
  <c r="F8" i="60"/>
  <c r="E8" i="60"/>
  <c r="D8" i="60"/>
  <c r="C8" i="60"/>
  <c r="B8" i="60"/>
  <c r="M1" i="60"/>
  <c r="L1" i="60"/>
  <c r="K1" i="60"/>
  <c r="J1" i="60"/>
  <c r="I1" i="60"/>
  <c r="H1" i="60"/>
  <c r="G1" i="60"/>
  <c r="F1" i="60"/>
  <c r="E1" i="60"/>
  <c r="D1" i="60"/>
  <c r="C1" i="60"/>
  <c r="B1" i="60"/>
  <c r="G19" i="58"/>
  <c r="F19" i="58"/>
  <c r="E19" i="58"/>
  <c r="D19" i="58"/>
  <c r="C19" i="58"/>
  <c r="B19" i="58"/>
  <c r="B31" i="58" s="1"/>
  <c r="G18" i="58"/>
  <c r="F18" i="58"/>
  <c r="E18" i="58"/>
  <c r="D18" i="58"/>
  <c r="C18" i="58"/>
  <c r="B18" i="58"/>
  <c r="G17" i="58"/>
  <c r="F17" i="58"/>
  <c r="E17" i="58"/>
  <c r="D17" i="58"/>
  <c r="C17" i="58"/>
  <c r="B17" i="58"/>
  <c r="G16" i="58"/>
  <c r="F16" i="58"/>
  <c r="F20" i="58" s="1"/>
  <c r="E16" i="58"/>
  <c r="D16" i="58"/>
  <c r="C16" i="58"/>
  <c r="B16" i="58"/>
  <c r="B28" i="58" s="1"/>
  <c r="F14" i="58"/>
  <c r="E14" i="58"/>
  <c r="FO1" i="58"/>
  <c r="FN1" i="58"/>
  <c r="FM1" i="58"/>
  <c r="FL1" i="58"/>
  <c r="FK1" i="58"/>
  <c r="FJ1" i="58"/>
  <c r="FI1" i="58"/>
  <c r="FH1" i="58"/>
  <c r="FG1" i="58"/>
  <c r="FF1" i="58"/>
  <c r="FE1" i="58"/>
  <c r="FD1" i="58"/>
  <c r="FC1" i="58"/>
  <c r="FB1" i="58"/>
  <c r="FA1" i="58"/>
  <c r="EZ1" i="58"/>
  <c r="EY1" i="58"/>
  <c r="EX1" i="58"/>
  <c r="EW1" i="58"/>
  <c r="EV1" i="58"/>
  <c r="EU1" i="58"/>
  <c r="ET1" i="58"/>
  <c r="ES1" i="58"/>
  <c r="ER1" i="58"/>
  <c r="EQ1" i="58"/>
  <c r="EP1" i="58"/>
  <c r="EO1" i="58"/>
  <c r="EN1" i="58"/>
  <c r="EM1" i="58"/>
  <c r="EL1" i="58"/>
  <c r="EK1" i="58"/>
  <c r="EJ1" i="58"/>
  <c r="EI1" i="58"/>
  <c r="EH1" i="58"/>
  <c r="EG1" i="58"/>
  <c r="EF1" i="58"/>
  <c r="EE1" i="58"/>
  <c r="ED1" i="58"/>
  <c r="EC1" i="58"/>
  <c r="EB1" i="58"/>
  <c r="EA1" i="58"/>
  <c r="DZ1" i="58"/>
  <c r="DY1" i="58"/>
  <c r="DX1" i="58"/>
  <c r="DW1" i="58"/>
  <c r="DV1" i="58"/>
  <c r="DU1" i="58"/>
  <c r="DT1" i="58"/>
  <c r="DS1" i="58"/>
  <c r="DR1" i="58"/>
  <c r="DQ1" i="58"/>
  <c r="DP1" i="58"/>
  <c r="DO1" i="58"/>
  <c r="DN1" i="58"/>
  <c r="DM1" i="58"/>
  <c r="DL1" i="58"/>
  <c r="DK1" i="58"/>
  <c r="DJ1" i="58"/>
  <c r="DI1" i="58"/>
  <c r="DH1" i="58"/>
  <c r="DG1" i="58"/>
  <c r="DF1" i="58"/>
  <c r="DE1" i="58"/>
  <c r="DD1" i="58"/>
  <c r="DC1" i="58"/>
  <c r="DB1" i="58"/>
  <c r="DA1" i="58"/>
  <c r="CZ1" i="58"/>
  <c r="CY1" i="58"/>
  <c r="CX1" i="58"/>
  <c r="CW1" i="58"/>
  <c r="CV1" i="58"/>
  <c r="CU1" i="58"/>
  <c r="CT1" i="58"/>
  <c r="CS1" i="58"/>
  <c r="CR1" i="58"/>
  <c r="CQ1" i="58"/>
  <c r="CP1" i="58"/>
  <c r="CO1" i="58"/>
  <c r="CN1" i="58"/>
  <c r="CM1" i="58"/>
  <c r="CL1" i="58"/>
  <c r="CK1" i="58"/>
  <c r="CJ1" i="58"/>
  <c r="CI1" i="58"/>
  <c r="CH1" i="58"/>
  <c r="CG1" i="58"/>
  <c r="CF1" i="58"/>
  <c r="CE1" i="58"/>
  <c r="CD1" i="58"/>
  <c r="CC1" i="58"/>
  <c r="CB1" i="58"/>
  <c r="CA1" i="58"/>
  <c r="BZ1" i="58"/>
  <c r="BY1" i="58"/>
  <c r="BX1" i="58"/>
  <c r="BW1" i="58"/>
  <c r="BV1" i="58"/>
  <c r="BU1" i="58"/>
  <c r="BT1" i="58"/>
  <c r="BS1" i="58"/>
  <c r="BR1" i="58"/>
  <c r="BQ1" i="58"/>
  <c r="BP1" i="58"/>
  <c r="BO1" i="58"/>
  <c r="BN1" i="58"/>
  <c r="BM1" i="58"/>
  <c r="BL1" i="58"/>
  <c r="BK1" i="58"/>
  <c r="BJ1" i="58"/>
  <c r="BI1" i="58"/>
  <c r="BH1" i="58"/>
  <c r="BG1" i="58"/>
  <c r="BF1" i="58"/>
  <c r="BE1" i="58"/>
  <c r="BD1" i="58"/>
  <c r="BC1" i="58"/>
  <c r="BB1" i="58"/>
  <c r="BA1" i="58"/>
  <c r="AZ1" i="58"/>
  <c r="AY1" i="58"/>
  <c r="AX1" i="58"/>
  <c r="AW1" i="58"/>
  <c r="AV1" i="58"/>
  <c r="AU1" i="58"/>
  <c r="AT1" i="58"/>
  <c r="AS1" i="58"/>
  <c r="AR1" i="58"/>
  <c r="AQ1" i="58"/>
  <c r="AP1" i="58"/>
  <c r="AO1" i="58"/>
  <c r="AN1" i="58"/>
  <c r="AM1" i="58"/>
  <c r="AL1" i="58"/>
  <c r="AK1" i="58"/>
  <c r="AJ1" i="58"/>
  <c r="AI1" i="58"/>
  <c r="AH1" i="58"/>
  <c r="AG1" i="58"/>
  <c r="AF1" i="58"/>
  <c r="AE1" i="58"/>
  <c r="AD1" i="58"/>
  <c r="AC1" i="58"/>
  <c r="AB1" i="58"/>
  <c r="AA1" i="58"/>
  <c r="Z1" i="58"/>
  <c r="Y1" i="58"/>
  <c r="X1" i="58"/>
  <c r="W1" i="58"/>
  <c r="V1" i="58"/>
  <c r="U1" i="58"/>
  <c r="T1" i="58"/>
  <c r="S1" i="58"/>
  <c r="R1" i="58"/>
  <c r="Q1" i="58"/>
  <c r="P1" i="58"/>
  <c r="O1" i="58"/>
  <c r="N1" i="58"/>
  <c r="M1" i="58"/>
  <c r="L1" i="58"/>
  <c r="K1" i="58"/>
  <c r="J1" i="58"/>
  <c r="I1" i="58"/>
  <c r="H1" i="58"/>
  <c r="G1" i="58"/>
  <c r="F1" i="58"/>
  <c r="E1" i="58"/>
  <c r="DU1" i="59"/>
  <c r="DT1" i="59"/>
  <c r="DS1" i="59"/>
  <c r="DR1" i="59"/>
  <c r="DQ1" i="59"/>
  <c r="DP1" i="59"/>
  <c r="DO1" i="59"/>
  <c r="DN1" i="59"/>
  <c r="DM1" i="59"/>
  <c r="DL1" i="59"/>
  <c r="DK1" i="59"/>
  <c r="DJ1" i="59"/>
  <c r="DI1" i="59"/>
  <c r="DH1" i="59"/>
  <c r="DG1" i="59"/>
  <c r="DF1" i="59"/>
  <c r="DE1" i="59"/>
  <c r="DD1" i="59"/>
  <c r="DC1" i="59"/>
  <c r="DB1" i="59"/>
  <c r="DA1" i="59"/>
  <c r="CZ1" i="59"/>
  <c r="CY1" i="59"/>
  <c r="CX1" i="59"/>
  <c r="CW1" i="59"/>
  <c r="CV1" i="59"/>
  <c r="CU1" i="59"/>
  <c r="CT1" i="59"/>
  <c r="CS1" i="59"/>
  <c r="CR1" i="59"/>
  <c r="CQ1" i="59"/>
  <c r="CP1" i="59"/>
  <c r="CO1" i="59"/>
  <c r="CN1" i="59"/>
  <c r="CM1" i="59"/>
  <c r="CL1" i="59"/>
  <c r="CK1" i="59"/>
  <c r="CJ1" i="59"/>
  <c r="CI1" i="59"/>
  <c r="CH1" i="59"/>
  <c r="CG1" i="59"/>
  <c r="CF1" i="59"/>
  <c r="CE1" i="59"/>
  <c r="CD1" i="59"/>
  <c r="CC1" i="59"/>
  <c r="CB1" i="59"/>
  <c r="CA1" i="59"/>
  <c r="BZ1" i="59"/>
  <c r="BY1" i="59"/>
  <c r="BX1" i="59"/>
  <c r="BW1" i="59"/>
  <c r="BV1" i="59"/>
  <c r="BU1" i="59"/>
  <c r="BT1" i="59"/>
  <c r="BS1" i="59"/>
  <c r="BR1" i="59"/>
  <c r="BQ1" i="59"/>
  <c r="BP1" i="59"/>
  <c r="BO1" i="59"/>
  <c r="BN1" i="59"/>
  <c r="BM1" i="59"/>
  <c r="BL1" i="59"/>
  <c r="BK1" i="59"/>
  <c r="BJ1" i="59"/>
  <c r="BI1" i="59"/>
  <c r="BH1" i="59"/>
  <c r="BG1" i="59"/>
  <c r="BF1" i="59"/>
  <c r="BE1" i="59"/>
  <c r="BD1" i="59"/>
  <c r="BC1" i="59"/>
  <c r="BB1" i="59"/>
  <c r="BA1" i="59"/>
  <c r="AZ1" i="59"/>
  <c r="AY1" i="59"/>
  <c r="AX1" i="59"/>
  <c r="AW1" i="59"/>
  <c r="AV1" i="59"/>
  <c r="AU1" i="59"/>
  <c r="AT1" i="59"/>
  <c r="AS1" i="59"/>
  <c r="AR1" i="59"/>
  <c r="AQ1" i="59"/>
  <c r="AP1" i="59"/>
  <c r="AO1" i="59"/>
  <c r="AN1" i="59"/>
  <c r="AM1" i="59"/>
  <c r="AL1" i="59"/>
  <c r="AK1" i="59"/>
  <c r="AJ1" i="59"/>
  <c r="AI1" i="59"/>
  <c r="AH1" i="59"/>
  <c r="AG1" i="59"/>
  <c r="AF1" i="59"/>
  <c r="AE1" i="59"/>
  <c r="AD1" i="59"/>
  <c r="AC1" i="59"/>
  <c r="AB1" i="59"/>
  <c r="AA1" i="59"/>
  <c r="Z1" i="59"/>
  <c r="Y1" i="59"/>
  <c r="X1" i="59"/>
  <c r="W1" i="59"/>
  <c r="V1" i="59"/>
  <c r="U1" i="59"/>
  <c r="T1" i="59"/>
  <c r="S1" i="59"/>
  <c r="R1" i="59"/>
  <c r="Q1" i="59"/>
  <c r="P1" i="59"/>
  <c r="O1" i="59"/>
  <c r="N1" i="59"/>
  <c r="M1" i="59"/>
  <c r="L1" i="59"/>
  <c r="K1" i="59"/>
  <c r="J1" i="59"/>
  <c r="I1" i="59"/>
  <c r="H1" i="59"/>
  <c r="G1" i="59"/>
  <c r="F1" i="59"/>
  <c r="E1" i="59"/>
  <c r="D1" i="59"/>
  <c r="C1" i="59"/>
  <c r="B1" i="59"/>
  <c r="K29" i="54"/>
  <c r="V26" i="54"/>
  <c r="Q11" i="38" s="1"/>
  <c r="Q12" i="38" s="1"/>
  <c r="U26" i="54"/>
  <c r="P11" i="38" s="1"/>
  <c r="P12" i="39" s="1"/>
  <c r="T26" i="54"/>
  <c r="O11" i="38" s="1"/>
  <c r="O12" i="39" s="1"/>
  <c r="S26" i="54"/>
  <c r="N11" i="38" s="1"/>
  <c r="R26" i="54"/>
  <c r="M11" i="38" s="1"/>
  <c r="Q26" i="54"/>
  <c r="L11" i="38" s="1"/>
  <c r="L12" i="39" s="1"/>
  <c r="P26" i="54"/>
  <c r="K11" i="38" s="1"/>
  <c r="K12" i="38" s="1"/>
  <c r="O26" i="54"/>
  <c r="J11" i="38" s="1"/>
  <c r="J12" i="39" s="1"/>
  <c r="N26" i="54"/>
  <c r="I11" i="38" s="1"/>
  <c r="I12" i="39" s="1"/>
  <c r="M26" i="54"/>
  <c r="H11" i="38" s="1"/>
  <c r="L26" i="54"/>
  <c r="G11" i="38" s="1"/>
  <c r="D25" i="54"/>
  <c r="E25" i="54" s="1"/>
  <c r="W25" i="54" s="1"/>
  <c r="E24" i="54"/>
  <c r="C24" i="54"/>
  <c r="H24" i="54" s="1"/>
  <c r="D23" i="54"/>
  <c r="E23" i="54" s="1"/>
  <c r="D22" i="54"/>
  <c r="E22" i="54" s="1"/>
  <c r="D21" i="54"/>
  <c r="E21" i="54" s="1"/>
  <c r="E19" i="54"/>
  <c r="C19" i="54"/>
  <c r="H19" i="54" s="1"/>
  <c r="B19" i="54"/>
  <c r="D18" i="54"/>
  <c r="D17" i="54"/>
  <c r="E17" i="54" s="1"/>
  <c r="W16" i="54"/>
  <c r="W15" i="54"/>
  <c r="E15" i="54"/>
  <c r="W14" i="54"/>
  <c r="E14" i="54"/>
  <c r="W13" i="54"/>
  <c r="W12" i="54"/>
  <c r="W11" i="54"/>
  <c r="W9" i="54"/>
  <c r="W8" i="54"/>
  <c r="W7" i="54"/>
  <c r="W6" i="54"/>
  <c r="W5" i="54"/>
  <c r="W4" i="54"/>
  <c r="B3" i="54"/>
  <c r="W2" i="54"/>
  <c r="V1" i="54"/>
  <c r="V29" i="54" s="1"/>
  <c r="U1" i="54"/>
  <c r="U29" i="54" s="1"/>
  <c r="T1" i="54"/>
  <c r="T29" i="54" s="1"/>
  <c r="S1" i="54"/>
  <c r="S29" i="54" s="1"/>
  <c r="R1" i="54"/>
  <c r="R29" i="54" s="1"/>
  <c r="Q1" i="54"/>
  <c r="Q29" i="54" s="1"/>
  <c r="P1" i="54"/>
  <c r="P29" i="54" s="1"/>
  <c r="O1" i="54"/>
  <c r="O29" i="54" s="1"/>
  <c r="N1" i="54"/>
  <c r="N29" i="54" s="1"/>
  <c r="M1" i="54"/>
  <c r="M29" i="54" s="1"/>
  <c r="L1" i="54"/>
  <c r="L29" i="54" s="1"/>
  <c r="K1" i="54"/>
  <c r="J1" i="54"/>
  <c r="J29" i="54" s="1"/>
  <c r="I1" i="54"/>
  <c r="I29" i="54" s="1"/>
  <c r="H1" i="54"/>
  <c r="H29" i="54" s="1"/>
  <c r="G1" i="54"/>
  <c r="G29" i="54" s="1"/>
  <c r="D69" i="26"/>
  <c r="D68" i="26"/>
  <c r="D67" i="26"/>
  <c r="D66" i="26"/>
  <c r="D65" i="26"/>
  <c r="D64" i="26"/>
  <c r="D63" i="26"/>
  <c r="D62" i="26"/>
  <c r="D61" i="26"/>
  <c r="C13" i="54" s="1"/>
  <c r="D13" i="54" s="1"/>
  <c r="D60" i="26"/>
  <c r="D59" i="26"/>
  <c r="C11" i="54" s="1"/>
  <c r="D11" i="54" s="1"/>
  <c r="D11" i="43"/>
  <c r="E11" i="43" s="1"/>
  <c r="F11" i="43" s="1"/>
  <c r="G11" i="43" s="1"/>
  <c r="H11" i="43" s="1"/>
  <c r="I11" i="43" s="1"/>
  <c r="J11" i="43" s="1"/>
  <c r="K11" i="43" s="1"/>
  <c r="L11" i="43" s="1"/>
  <c r="M11" i="43" s="1"/>
  <c r="N11" i="43" s="1"/>
  <c r="O11" i="43" s="1"/>
  <c r="P11" i="43" s="1"/>
  <c r="Q11" i="43" s="1"/>
  <c r="B52" i="26"/>
  <c r="D10" i="43"/>
  <c r="E10" i="43" s="1"/>
  <c r="F10" i="43" s="1"/>
  <c r="G10" i="43" s="1"/>
  <c r="H10" i="43" s="1"/>
  <c r="I10" i="43" s="1"/>
  <c r="J10" i="43" s="1"/>
  <c r="K10" i="43" s="1"/>
  <c r="L10" i="43" s="1"/>
  <c r="M10" i="43" s="1"/>
  <c r="N10" i="43" s="1"/>
  <c r="O10" i="43" s="1"/>
  <c r="P10" i="43" s="1"/>
  <c r="Q10" i="43" s="1"/>
  <c r="B48" i="26"/>
  <c r="B46" i="26"/>
  <c r="B45" i="26"/>
  <c r="B44" i="26"/>
  <c r="B43" i="26"/>
  <c r="B42" i="26"/>
  <c r="D29" i="26"/>
  <c r="C28" i="26"/>
  <c r="B28" i="26"/>
  <c r="D28" i="26" s="1"/>
  <c r="B20" i="26"/>
  <c r="B18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Q8" i="26"/>
  <c r="P8" i="26"/>
  <c r="O8" i="26"/>
  <c r="N8" i="26"/>
  <c r="M8" i="26"/>
  <c r="L8" i="26"/>
  <c r="K8" i="26"/>
  <c r="J8" i="26"/>
  <c r="I8" i="26"/>
  <c r="H8" i="26"/>
  <c r="Q7" i="26"/>
  <c r="P7" i="26"/>
  <c r="O7" i="26"/>
  <c r="N7" i="26"/>
  <c r="M7" i="26"/>
  <c r="L7" i="26"/>
  <c r="K7" i="26"/>
  <c r="J7" i="26"/>
  <c r="I7" i="26"/>
  <c r="H7" i="26"/>
  <c r="G7" i="26"/>
  <c r="B4" i="26"/>
  <c r="C3" i="26"/>
  <c r="D3" i="26" s="1"/>
  <c r="E3" i="26" s="1"/>
  <c r="F3" i="26" s="1"/>
  <c r="G3" i="26" s="1"/>
  <c r="H3" i="26" s="1"/>
  <c r="I3" i="26" s="1"/>
  <c r="J3" i="26" s="1"/>
  <c r="K3" i="26" s="1"/>
  <c r="L3" i="26" s="1"/>
  <c r="M3" i="26" s="1"/>
  <c r="N3" i="26" s="1"/>
  <c r="O3" i="26" s="1"/>
  <c r="P3" i="26" s="1"/>
  <c r="Q3" i="26" s="1"/>
  <c r="C2" i="26"/>
  <c r="D2" i="26" s="1"/>
  <c r="E2" i="26" s="1"/>
  <c r="F2" i="26" s="1"/>
  <c r="G2" i="26" s="1"/>
  <c r="H2" i="26" s="1"/>
  <c r="I2" i="26" s="1"/>
  <c r="J2" i="26" s="1"/>
  <c r="K2" i="26" s="1"/>
  <c r="L2" i="26" s="1"/>
  <c r="M2" i="26" s="1"/>
  <c r="N2" i="26" s="1"/>
  <c r="O2" i="26" s="1"/>
  <c r="P2" i="26" s="1"/>
  <c r="Q2" i="26" s="1"/>
  <c r="Q1" i="26"/>
  <c r="P1" i="26"/>
  <c r="O1" i="26"/>
  <c r="N1" i="26"/>
  <c r="M1" i="26"/>
  <c r="L1" i="26"/>
  <c r="K1" i="26"/>
  <c r="J1" i="26"/>
  <c r="I1" i="26"/>
  <c r="H1" i="26"/>
  <c r="G1" i="26"/>
  <c r="F1" i="26"/>
  <c r="E1" i="26"/>
  <c r="D1" i="26"/>
  <c r="C1" i="26"/>
  <c r="AI11" i="58" l="1"/>
  <c r="W36" i="58"/>
  <c r="BV12" i="58"/>
  <c r="BJ37" i="58"/>
  <c r="DT11" i="58"/>
  <c r="DH36" i="58"/>
  <c r="AV10" i="58"/>
  <c r="AJ35" i="58"/>
  <c r="AG12" i="58"/>
  <c r="U37" i="58"/>
  <c r="AG13" i="58"/>
  <c r="U38" i="58"/>
  <c r="AR13" i="58"/>
  <c r="AF38" i="58"/>
  <c r="AS10" i="58"/>
  <c r="AG35" i="58"/>
  <c r="CY11" i="58"/>
  <c r="CM36" i="58"/>
  <c r="CX11" i="58"/>
  <c r="CL36" i="58"/>
  <c r="CW10" i="58"/>
  <c r="CK35" i="58"/>
  <c r="AR12" i="58"/>
  <c r="AF37" i="58"/>
  <c r="BV11" i="58"/>
  <c r="BJ36" i="58"/>
  <c r="ER10" i="58"/>
  <c r="EF35" i="58"/>
  <c r="CY10" i="58"/>
  <c r="CM35" i="58"/>
  <c r="BV13" i="58"/>
  <c r="BJ38" i="58"/>
  <c r="BW11" i="58"/>
  <c r="BK36" i="58"/>
  <c r="AI12" i="58"/>
  <c r="W37" i="58"/>
  <c r="AG11" i="58"/>
  <c r="U36" i="58"/>
  <c r="CM13" i="58"/>
  <c r="CA38" i="58"/>
  <c r="AI13" i="58"/>
  <c r="W38" i="58"/>
  <c r="CY12" i="58"/>
  <c r="CM37" i="58"/>
  <c r="ET12" i="58"/>
  <c r="EH37" i="58"/>
  <c r="AH10" i="58"/>
  <c r="V35" i="58"/>
  <c r="BY13" i="58"/>
  <c r="BM38" i="58"/>
  <c r="AR11" i="58"/>
  <c r="AF36" i="58"/>
  <c r="BZ10" i="58"/>
  <c r="BN35" i="58"/>
  <c r="BG10" i="58"/>
  <c r="AU35" i="58"/>
  <c r="CK11" i="58"/>
  <c r="BY36" i="58"/>
  <c r="BX13" i="58"/>
  <c r="BL38" i="58"/>
  <c r="BW12" i="58"/>
  <c r="BK37" i="58"/>
  <c r="CI13" i="58"/>
  <c r="BW38" i="58"/>
  <c r="BX12" i="58"/>
  <c r="BL37" i="58"/>
  <c r="L14" i="58"/>
  <c r="X14" i="58" s="1"/>
  <c r="AJ14" i="58" s="1"/>
  <c r="AV14" i="58" s="1"/>
  <c r="BH14" i="58" s="1"/>
  <c r="BT14" i="58" s="1"/>
  <c r="CF14" i="58" s="1"/>
  <c r="CR14" i="58" s="1"/>
  <c r="DD14" i="58" s="1"/>
  <c r="DP14" i="58" s="1"/>
  <c r="EB14" i="58" s="1"/>
  <c r="EN14" i="58" s="1"/>
  <c r="EZ14" i="58" s="1"/>
  <c r="FL14" i="58" s="1"/>
  <c r="X11" i="58"/>
  <c r="M13" i="58"/>
  <c r="M38" i="58" s="1"/>
  <c r="V13" i="58"/>
  <c r="X13" i="58"/>
  <c r="X12" i="58"/>
  <c r="M12" i="58"/>
  <c r="M37" i="58" s="1"/>
  <c r="V12" i="58"/>
  <c r="J14" i="58"/>
  <c r="V14" i="58" s="1"/>
  <c r="AH14" i="58" s="1"/>
  <c r="AT14" i="58" s="1"/>
  <c r="BF14" i="58" s="1"/>
  <c r="BR14" i="58" s="1"/>
  <c r="CD14" i="58" s="1"/>
  <c r="CP14" i="58" s="1"/>
  <c r="DB14" i="58" s="1"/>
  <c r="DN14" i="58" s="1"/>
  <c r="DZ14" i="58" s="1"/>
  <c r="EL14" i="58" s="1"/>
  <c r="EX14" i="58" s="1"/>
  <c r="FJ14" i="58" s="1"/>
  <c r="M11" i="58"/>
  <c r="M36" i="58" s="1"/>
  <c r="V11" i="58"/>
  <c r="Y10" i="58"/>
  <c r="B29" i="58"/>
  <c r="C4" i="58" s="1"/>
  <c r="C29" i="58" s="1"/>
  <c r="D4" i="58" s="1"/>
  <c r="D29" i="58" s="1"/>
  <c r="B30" i="58"/>
  <c r="C5" i="58" s="1"/>
  <c r="C30" i="58" s="1"/>
  <c r="D5" i="58" s="1"/>
  <c r="D30" i="58" s="1"/>
  <c r="B18" i="43"/>
  <c r="E20" i="58"/>
  <c r="G20" i="58"/>
  <c r="C6" i="58"/>
  <c r="B20" i="58"/>
  <c r="C20" i="58"/>
  <c r="D20" i="58"/>
  <c r="B17" i="43"/>
  <c r="B4" i="43"/>
  <c r="B16" i="43"/>
  <c r="B15" i="43"/>
  <c r="B7" i="43"/>
  <c r="B6" i="43"/>
  <c r="B5" i="43"/>
  <c r="H39" i="60"/>
  <c r="H46" i="60" s="1"/>
  <c r="H40" i="60"/>
  <c r="C38" i="60"/>
  <c r="I38" i="60"/>
  <c r="I45" i="60" s="1"/>
  <c r="I52" i="60" s="1"/>
  <c r="I59" i="60" s="1"/>
  <c r="I66" i="60" s="1"/>
  <c r="I73" i="60" s="1"/>
  <c r="C39" i="60"/>
  <c r="C46" i="60" s="1"/>
  <c r="D38" i="60"/>
  <c r="J38" i="60"/>
  <c r="D39" i="60"/>
  <c r="J39" i="60"/>
  <c r="D40" i="60"/>
  <c r="J40" i="60"/>
  <c r="E38" i="60"/>
  <c r="E45" i="60" s="1"/>
  <c r="E39" i="60"/>
  <c r="K39" i="60"/>
  <c r="E40" i="60"/>
  <c r="E47" i="60" s="1"/>
  <c r="E54" i="60" s="1"/>
  <c r="E61" i="60" s="1"/>
  <c r="K40" i="60"/>
  <c r="K47" i="60" s="1"/>
  <c r="K54" i="60" s="1"/>
  <c r="H37" i="60"/>
  <c r="F38" i="60"/>
  <c r="F45" i="60" s="1"/>
  <c r="F52" i="60" s="1"/>
  <c r="F59" i="60" s="1"/>
  <c r="L38" i="60"/>
  <c r="F40" i="60"/>
  <c r="F47" i="60" s="1"/>
  <c r="L40" i="60"/>
  <c r="G39" i="60"/>
  <c r="G46" i="60" s="1"/>
  <c r="G53" i="60" s="1"/>
  <c r="G60" i="60" s="1"/>
  <c r="G67" i="60" s="1"/>
  <c r="G74" i="60" s="1"/>
  <c r="M39" i="60"/>
  <c r="W19" i="54"/>
  <c r="W21" i="54"/>
  <c r="C18" i="43"/>
  <c r="H38" i="60"/>
  <c r="I39" i="60"/>
  <c r="I46" i="60" s="1"/>
  <c r="I53" i="60" s="1"/>
  <c r="I60" i="60" s="1"/>
  <c r="C40" i="60"/>
  <c r="I40" i="60"/>
  <c r="K38" i="60"/>
  <c r="L39" i="60"/>
  <c r="M33" i="60"/>
  <c r="C12" i="54"/>
  <c r="D12" i="54" s="1"/>
  <c r="B15" i="54"/>
  <c r="C16" i="43"/>
  <c r="C9" i="54"/>
  <c r="D9" i="54" s="1"/>
  <c r="E9" i="54" s="1"/>
  <c r="R22" i="43"/>
  <c r="T22" i="43" s="1"/>
  <c r="D16" i="38"/>
  <c r="D17" i="38" s="1"/>
  <c r="E3" i="38"/>
  <c r="D2" i="39"/>
  <c r="C2" i="39"/>
  <c r="C16" i="38"/>
  <c r="C17" i="38" s="1"/>
  <c r="B16" i="38"/>
  <c r="H23" i="43"/>
  <c r="C53" i="60"/>
  <c r="H47" i="60"/>
  <c r="E52" i="60"/>
  <c r="H45" i="60"/>
  <c r="J47" i="60"/>
  <c r="D45" i="60"/>
  <c r="J45" i="60"/>
  <c r="D47" i="60"/>
  <c r="E46" i="60"/>
  <c r="K46" i="60"/>
  <c r="E68" i="60"/>
  <c r="G40" i="60"/>
  <c r="F39" i="60"/>
  <c r="G38" i="60"/>
  <c r="M38" i="60"/>
  <c r="H53" i="60"/>
  <c r="B39" i="60"/>
  <c r="B40" i="60"/>
  <c r="C15" i="43"/>
  <c r="C14" i="43" s="1"/>
  <c r="C4" i="39" s="1"/>
  <c r="B38" i="60"/>
  <c r="I37" i="60"/>
  <c r="E37" i="60"/>
  <c r="D37" i="60"/>
  <c r="G37" i="60"/>
  <c r="M37" i="60"/>
  <c r="J37" i="60"/>
  <c r="H44" i="60"/>
  <c r="C37" i="60"/>
  <c r="K30" i="60"/>
  <c r="F37" i="60"/>
  <c r="L37" i="60"/>
  <c r="B37" i="60"/>
  <c r="G12" i="39"/>
  <c r="G12" i="38"/>
  <c r="M12" i="39"/>
  <c r="M12" i="38"/>
  <c r="H12" i="39"/>
  <c r="H12" i="38"/>
  <c r="N12" i="39"/>
  <c r="N12" i="38"/>
  <c r="W24" i="54"/>
  <c r="B20" i="54"/>
  <c r="L12" i="38"/>
  <c r="D20" i="54"/>
  <c r="E20" i="54" s="1"/>
  <c r="H20" i="54"/>
  <c r="I12" i="38"/>
  <c r="O12" i="38"/>
  <c r="Q12" i="39"/>
  <c r="J12" i="38"/>
  <c r="P12" i="38"/>
  <c r="K12" i="39"/>
  <c r="B14" i="54"/>
  <c r="D76" i="26"/>
  <c r="R28" i="43"/>
  <c r="T28" i="43" s="1"/>
  <c r="R24" i="43"/>
  <c r="T24" i="43" s="1"/>
  <c r="B11" i="43"/>
  <c r="C11" i="43"/>
  <c r="B10" i="43"/>
  <c r="C10" i="43"/>
  <c r="B21" i="54"/>
  <c r="C6" i="54"/>
  <c r="D6" i="54" s="1"/>
  <c r="E6" i="54" s="1"/>
  <c r="B18" i="54"/>
  <c r="B22" i="54"/>
  <c r="C5" i="54"/>
  <c r="D5" i="54" s="1"/>
  <c r="E5" i="54" s="1"/>
  <c r="C8" i="54"/>
  <c r="D8" i="54" s="1"/>
  <c r="E8" i="54" s="1"/>
  <c r="B25" i="54"/>
  <c r="C4" i="26"/>
  <c r="D4" i="26" s="1"/>
  <c r="E4" i="26" s="1"/>
  <c r="F4" i="26" s="1"/>
  <c r="G4" i="26" s="1"/>
  <c r="H4" i="26" s="1"/>
  <c r="I4" i="26" s="1"/>
  <c r="J4" i="26" s="1"/>
  <c r="K4" i="26" s="1"/>
  <c r="L4" i="26" s="1"/>
  <c r="M4" i="26" s="1"/>
  <c r="N4" i="26" s="1"/>
  <c r="O4" i="26" s="1"/>
  <c r="P4" i="26" s="1"/>
  <c r="Q4" i="26" s="1"/>
  <c r="B17" i="54"/>
  <c r="B23" i="54"/>
  <c r="C3" i="54"/>
  <c r="C4" i="54"/>
  <c r="D4" i="54" s="1"/>
  <c r="E4" i="54" s="1"/>
  <c r="C7" i="54"/>
  <c r="D7" i="54" s="1"/>
  <c r="E7" i="54" s="1"/>
  <c r="C30" i="61"/>
  <c r="E30" i="61"/>
  <c r="C25" i="43" s="1"/>
  <c r="E16" i="54"/>
  <c r="B16" i="54"/>
  <c r="K26" i="54"/>
  <c r="F11" i="38" s="1"/>
  <c r="D26" i="57"/>
  <c r="W17" i="54"/>
  <c r="C26" i="57"/>
  <c r="B26" i="57"/>
  <c r="E18" i="54"/>
  <c r="AK10" i="58" l="1"/>
  <c r="Y35" i="58"/>
  <c r="AJ12" i="58"/>
  <c r="X37" i="58"/>
  <c r="CJ13" i="58"/>
  <c r="BX38" i="58"/>
  <c r="AH13" i="58"/>
  <c r="V38" i="58"/>
  <c r="AH11" i="58"/>
  <c r="V36" i="58"/>
  <c r="AJ13" i="58"/>
  <c r="X38" i="58"/>
  <c r="CJ12" i="58"/>
  <c r="BX37" i="58"/>
  <c r="CL10" i="58"/>
  <c r="BZ35" i="58"/>
  <c r="AT10" i="58"/>
  <c r="AH35" i="58"/>
  <c r="AU13" i="58"/>
  <c r="AI38" i="58"/>
  <c r="AU12" i="58"/>
  <c r="AI37" i="58"/>
  <c r="DK10" i="58"/>
  <c r="CY35" i="58"/>
  <c r="BD12" i="58"/>
  <c r="AR37" i="58"/>
  <c r="DK11" i="58"/>
  <c r="CY36" i="58"/>
  <c r="AS13" i="58"/>
  <c r="AG38" i="58"/>
  <c r="EF11" i="58"/>
  <c r="DT36" i="58"/>
  <c r="CU13" i="58"/>
  <c r="CI38" i="58"/>
  <c r="CW11" i="58"/>
  <c r="CK36" i="58"/>
  <c r="BD11" i="58"/>
  <c r="AR36" i="58"/>
  <c r="FF12" i="58"/>
  <c r="FF37" i="58" s="1"/>
  <c r="ET37" i="58"/>
  <c r="CY13" i="58"/>
  <c r="CM38" i="58"/>
  <c r="CI11" i="58"/>
  <c r="BW36" i="58"/>
  <c r="FD10" i="58"/>
  <c r="FD35" i="58" s="1"/>
  <c r="ER35" i="58"/>
  <c r="DI10" i="58"/>
  <c r="CW35" i="58"/>
  <c r="BE10" i="58"/>
  <c r="AS35" i="58"/>
  <c r="AS12" i="58"/>
  <c r="AG37" i="58"/>
  <c r="CH12" i="58"/>
  <c r="BV37" i="58"/>
  <c r="AH12" i="58"/>
  <c r="V37" i="58"/>
  <c r="AJ11" i="58"/>
  <c r="X36" i="58"/>
  <c r="CI12" i="58"/>
  <c r="BW37" i="58"/>
  <c r="BS10" i="58"/>
  <c r="BG35" i="58"/>
  <c r="CK13" i="58"/>
  <c r="BY38" i="58"/>
  <c r="DK12" i="58"/>
  <c r="CY37" i="58"/>
  <c r="AS11" i="58"/>
  <c r="AG36" i="58"/>
  <c r="CH13" i="58"/>
  <c r="BV38" i="58"/>
  <c r="CH11" i="58"/>
  <c r="BV36" i="58"/>
  <c r="DJ11" i="58"/>
  <c r="CX36" i="58"/>
  <c r="BD13" i="58"/>
  <c r="AR38" i="58"/>
  <c r="BH10" i="58"/>
  <c r="AV35" i="58"/>
  <c r="AU11" i="58"/>
  <c r="AI36" i="58"/>
  <c r="Y11" i="58"/>
  <c r="Y13" i="58"/>
  <c r="Y12" i="58"/>
  <c r="M14" i="58"/>
  <c r="Y14" i="58" s="1"/>
  <c r="AK14" i="58" s="1"/>
  <c r="AW14" i="58" s="1"/>
  <c r="BI14" i="58" s="1"/>
  <c r="BU14" i="58" s="1"/>
  <c r="CG14" i="58" s="1"/>
  <c r="CS14" i="58" s="1"/>
  <c r="DE14" i="58" s="1"/>
  <c r="DQ14" i="58" s="1"/>
  <c r="EC14" i="58" s="1"/>
  <c r="EO14" i="58" s="1"/>
  <c r="FA14" i="58" s="1"/>
  <c r="FM14" i="58" s="1"/>
  <c r="C31" i="58"/>
  <c r="D6" i="58" s="1"/>
  <c r="D31" i="58" s="1"/>
  <c r="B32" i="58"/>
  <c r="B33" i="58" s="1"/>
  <c r="C3" i="58"/>
  <c r="C28" i="58" s="1"/>
  <c r="B14" i="43"/>
  <c r="B4" i="39" s="1"/>
  <c r="C17" i="43"/>
  <c r="Q12" i="43"/>
  <c r="F54" i="60"/>
  <c r="F66" i="60"/>
  <c r="J46" i="60"/>
  <c r="C45" i="60"/>
  <c r="B37" i="54"/>
  <c r="B39" i="54" s="1"/>
  <c r="M46" i="60"/>
  <c r="D46" i="60"/>
  <c r="G81" i="60"/>
  <c r="L47" i="60"/>
  <c r="L45" i="60"/>
  <c r="K61" i="60"/>
  <c r="I80" i="60"/>
  <c r="C10" i="54"/>
  <c r="D10" i="54" s="1"/>
  <c r="B10" i="54" s="1"/>
  <c r="B26" i="54" s="1"/>
  <c r="C60" i="60"/>
  <c r="C67" i="60" s="1"/>
  <c r="L46" i="60"/>
  <c r="I47" i="60"/>
  <c r="E11" i="54"/>
  <c r="B11" i="54"/>
  <c r="K45" i="60"/>
  <c r="M40" i="60"/>
  <c r="C47" i="60"/>
  <c r="F3" i="38"/>
  <c r="E2" i="39"/>
  <c r="I23" i="43"/>
  <c r="E59" i="60"/>
  <c r="G45" i="60"/>
  <c r="G47" i="60"/>
  <c r="E53" i="60"/>
  <c r="D54" i="60"/>
  <c r="F46" i="60"/>
  <c r="H52" i="60"/>
  <c r="H54" i="60"/>
  <c r="E75" i="60"/>
  <c r="J52" i="60"/>
  <c r="J54" i="60"/>
  <c r="H60" i="60"/>
  <c r="M45" i="60"/>
  <c r="K53" i="60"/>
  <c r="D52" i="60"/>
  <c r="I67" i="60"/>
  <c r="B47" i="60"/>
  <c r="B46" i="60"/>
  <c r="B45" i="60"/>
  <c r="C19" i="43"/>
  <c r="C3" i="62" s="1"/>
  <c r="K37" i="60"/>
  <c r="E12" i="43" s="1"/>
  <c r="C44" i="60"/>
  <c r="D12" i="43"/>
  <c r="L44" i="60"/>
  <c r="J44" i="60"/>
  <c r="P12" i="43"/>
  <c r="F44" i="60"/>
  <c r="M44" i="60"/>
  <c r="D44" i="60"/>
  <c r="I44" i="60"/>
  <c r="E44" i="60"/>
  <c r="H51" i="60"/>
  <c r="O12" i="43"/>
  <c r="G44" i="60"/>
  <c r="N12" i="43"/>
  <c r="B44" i="60"/>
  <c r="D3" i="54"/>
  <c r="E3" i="54" s="1"/>
  <c r="G3" i="54"/>
  <c r="H3" i="54"/>
  <c r="W20" i="54"/>
  <c r="E13" i="54"/>
  <c r="B13" i="54"/>
  <c r="B12" i="54"/>
  <c r="E12" i="54"/>
  <c r="R11" i="43"/>
  <c r="B3" i="43"/>
  <c r="B8" i="43" s="1"/>
  <c r="R10" i="43"/>
  <c r="J26" i="54"/>
  <c r="E11" i="38" s="1"/>
  <c r="E12" i="39" s="1"/>
  <c r="C26" i="43"/>
  <c r="C29" i="43" s="1"/>
  <c r="D25" i="43"/>
  <c r="F30" i="61"/>
  <c r="B25" i="43"/>
  <c r="B26" i="43" s="1"/>
  <c r="F12" i="39"/>
  <c r="F12" i="38"/>
  <c r="W23" i="54"/>
  <c r="I26" i="54"/>
  <c r="D11" i="38" s="1"/>
  <c r="D12" i="39" s="1"/>
  <c r="W22" i="54"/>
  <c r="W18" i="54"/>
  <c r="CT11" i="58" l="1"/>
  <c r="CH36" i="58"/>
  <c r="CU12" i="58"/>
  <c r="CI37" i="58"/>
  <c r="DU10" i="58"/>
  <c r="DI35" i="58"/>
  <c r="DI11" i="58"/>
  <c r="CW36" i="58"/>
  <c r="DW10" i="58"/>
  <c r="DK35" i="58"/>
  <c r="BF10" i="58"/>
  <c r="AT35" i="58"/>
  <c r="CV13" i="58"/>
  <c r="CJ38" i="58"/>
  <c r="AK13" i="58"/>
  <c r="Y38" i="58"/>
  <c r="AK12" i="58"/>
  <c r="Y37" i="58"/>
  <c r="BT10" i="58"/>
  <c r="BH35" i="58"/>
  <c r="DW12" i="58"/>
  <c r="DK37" i="58"/>
  <c r="CT12" i="58"/>
  <c r="CH37" i="58"/>
  <c r="DK13" i="58"/>
  <c r="CY38" i="58"/>
  <c r="BE13" i="58"/>
  <c r="AS38" i="58"/>
  <c r="AV13" i="58"/>
  <c r="AJ38" i="58"/>
  <c r="AK11" i="58"/>
  <c r="Y36" i="58"/>
  <c r="BP13" i="58"/>
  <c r="BD38" i="58"/>
  <c r="CT13" i="58"/>
  <c r="CH38" i="58"/>
  <c r="CW13" i="58"/>
  <c r="CK38" i="58"/>
  <c r="AV11" i="58"/>
  <c r="AJ36" i="58"/>
  <c r="BE12" i="58"/>
  <c r="AS37" i="58"/>
  <c r="DG13" i="58"/>
  <c r="CU38" i="58"/>
  <c r="DW11" i="58"/>
  <c r="DK36" i="58"/>
  <c r="BG12" i="58"/>
  <c r="AU37" i="58"/>
  <c r="CX10" i="58"/>
  <c r="CL35" i="58"/>
  <c r="AT11" i="58"/>
  <c r="AH36" i="58"/>
  <c r="AV12" i="58"/>
  <c r="AJ37" i="58"/>
  <c r="BG11" i="58"/>
  <c r="AU36" i="58"/>
  <c r="DV11" i="58"/>
  <c r="DJ36" i="58"/>
  <c r="BE11" i="58"/>
  <c r="AS36" i="58"/>
  <c r="CE10" i="58"/>
  <c r="BS35" i="58"/>
  <c r="AT12" i="58"/>
  <c r="AH37" i="58"/>
  <c r="BQ10" i="58"/>
  <c r="BE35" i="58"/>
  <c r="CU11" i="58"/>
  <c r="CI36" i="58"/>
  <c r="BP11" i="58"/>
  <c r="BD36" i="58"/>
  <c r="ER11" i="58"/>
  <c r="EF36" i="58"/>
  <c r="BP12" i="58"/>
  <c r="BD37" i="58"/>
  <c r="BG13" i="58"/>
  <c r="AU38" i="58"/>
  <c r="CV12" i="58"/>
  <c r="CJ37" i="58"/>
  <c r="AT13" i="58"/>
  <c r="AH38" i="58"/>
  <c r="AW10" i="58"/>
  <c r="AK35" i="58"/>
  <c r="H16" i="58"/>
  <c r="N22" i="58" s="1"/>
  <c r="E5" i="58"/>
  <c r="E4" i="58"/>
  <c r="C7" i="58"/>
  <c r="C8" i="58" s="1"/>
  <c r="O19" i="58"/>
  <c r="U25" i="58" s="1"/>
  <c r="U43" i="58" s="1"/>
  <c r="N19" i="58"/>
  <c r="T25" i="58" s="1"/>
  <c r="T43" i="58" s="1"/>
  <c r="C7" i="43"/>
  <c r="B19" i="43"/>
  <c r="B3" i="62" s="1"/>
  <c r="L52" i="60"/>
  <c r="C26" i="54"/>
  <c r="E10" i="54"/>
  <c r="I87" i="60"/>
  <c r="L54" i="60"/>
  <c r="D53" i="60"/>
  <c r="C52" i="60"/>
  <c r="F61" i="60"/>
  <c r="G10" i="54"/>
  <c r="G26" i="54" s="1"/>
  <c r="G30" i="54" s="1"/>
  <c r="G32" i="54" s="1"/>
  <c r="H10" i="54"/>
  <c r="K68" i="60"/>
  <c r="G88" i="60"/>
  <c r="M53" i="60"/>
  <c r="J53" i="60"/>
  <c r="F73" i="60"/>
  <c r="B42" i="54"/>
  <c r="C54" i="60"/>
  <c r="I54" i="60"/>
  <c r="K52" i="60"/>
  <c r="M47" i="60"/>
  <c r="L53" i="60"/>
  <c r="G3" i="38"/>
  <c r="F2" i="39"/>
  <c r="D37" i="54"/>
  <c r="D39" i="54" s="1"/>
  <c r="D9" i="43" s="1"/>
  <c r="J23" i="43"/>
  <c r="B52" i="60"/>
  <c r="B59" i="60" s="1"/>
  <c r="J61" i="60"/>
  <c r="H59" i="60"/>
  <c r="E66" i="60"/>
  <c r="E82" i="60"/>
  <c r="D61" i="60"/>
  <c r="G54" i="60"/>
  <c r="F53" i="60"/>
  <c r="I74" i="60"/>
  <c r="M52" i="60"/>
  <c r="H67" i="60"/>
  <c r="C74" i="60"/>
  <c r="G52" i="60"/>
  <c r="D59" i="60"/>
  <c r="J59" i="60"/>
  <c r="H61" i="60"/>
  <c r="E60" i="60"/>
  <c r="K60" i="60"/>
  <c r="B53" i="60"/>
  <c r="B54" i="60"/>
  <c r="E51" i="60"/>
  <c r="F51" i="60"/>
  <c r="J51" i="60"/>
  <c r="L51" i="60"/>
  <c r="C51" i="60"/>
  <c r="D51" i="60"/>
  <c r="K44" i="60"/>
  <c r="H58" i="60"/>
  <c r="M51" i="60"/>
  <c r="G51" i="60"/>
  <c r="I51" i="60"/>
  <c r="B51" i="60"/>
  <c r="D26" i="54"/>
  <c r="B23" i="26" s="1"/>
  <c r="B24" i="26" s="1"/>
  <c r="B27" i="26" s="1"/>
  <c r="D27" i="26" s="1"/>
  <c r="D30" i="26" s="1"/>
  <c r="E20" i="39" s="1"/>
  <c r="K14" i="39" s="1"/>
  <c r="E12" i="38"/>
  <c r="H26" i="54"/>
  <c r="C11" i="38" s="1"/>
  <c r="E26" i="54"/>
  <c r="B21" i="43"/>
  <c r="B3" i="39"/>
  <c r="B5" i="39" s="1"/>
  <c r="E25" i="43"/>
  <c r="E26" i="43" s="1"/>
  <c r="D26" i="43"/>
  <c r="W3" i="54"/>
  <c r="B29" i="43"/>
  <c r="D12" i="38"/>
  <c r="DH12" i="58" l="1"/>
  <c r="CV37" i="58"/>
  <c r="DF13" i="58"/>
  <c r="CT38" i="58"/>
  <c r="EG10" i="58"/>
  <c r="DU35" i="58"/>
  <c r="FD11" i="58"/>
  <c r="FD36" i="58" s="1"/>
  <c r="ER36" i="58"/>
  <c r="BI10" i="58"/>
  <c r="AW35" i="58"/>
  <c r="BS13" i="58"/>
  <c r="BG38" i="58"/>
  <c r="CB11" i="58"/>
  <c r="BP36" i="58"/>
  <c r="BF12" i="58"/>
  <c r="AT37" i="58"/>
  <c r="EH11" i="58"/>
  <c r="DV36" i="58"/>
  <c r="BF11" i="58"/>
  <c r="AT36" i="58"/>
  <c r="EI11" i="58"/>
  <c r="DW36" i="58"/>
  <c r="BH11" i="58"/>
  <c r="AV36" i="58"/>
  <c r="CB13" i="58"/>
  <c r="BP38" i="58"/>
  <c r="BQ13" i="58"/>
  <c r="BE38" i="58"/>
  <c r="EI12" i="58"/>
  <c r="DW37" i="58"/>
  <c r="AW13" i="58"/>
  <c r="AK38" i="58"/>
  <c r="EI10" i="58"/>
  <c r="DW35" i="58"/>
  <c r="DG12" i="58"/>
  <c r="CU37" i="58"/>
  <c r="CC10" i="58"/>
  <c r="BQ35" i="58"/>
  <c r="BH12" i="58"/>
  <c r="AV37" i="58"/>
  <c r="BS12" i="58"/>
  <c r="BG37" i="58"/>
  <c r="BH13" i="58"/>
  <c r="AV38" i="58"/>
  <c r="DF12" i="58"/>
  <c r="CT37" i="58"/>
  <c r="AW12" i="58"/>
  <c r="AK37" i="58"/>
  <c r="BQ11" i="58"/>
  <c r="BE36" i="58"/>
  <c r="BQ12" i="58"/>
  <c r="BE37" i="58"/>
  <c r="BR10" i="58"/>
  <c r="BF35" i="58"/>
  <c r="BF13" i="58"/>
  <c r="AT38" i="58"/>
  <c r="CB12" i="58"/>
  <c r="BP37" i="58"/>
  <c r="DG11" i="58"/>
  <c r="CU36" i="58"/>
  <c r="CQ10" i="58"/>
  <c r="CE35" i="58"/>
  <c r="BS11" i="58"/>
  <c r="BG36" i="58"/>
  <c r="DJ10" i="58"/>
  <c r="CX35" i="58"/>
  <c r="DS13" i="58"/>
  <c r="DG38" i="58"/>
  <c r="DI13" i="58"/>
  <c r="CW38" i="58"/>
  <c r="AW11" i="58"/>
  <c r="AK36" i="58"/>
  <c r="DW13" i="58"/>
  <c r="DK38" i="58"/>
  <c r="CF10" i="58"/>
  <c r="BT35" i="58"/>
  <c r="DH13" i="58"/>
  <c r="CV38" i="58"/>
  <c r="DU11" i="58"/>
  <c r="DI36" i="58"/>
  <c r="DF11" i="58"/>
  <c r="CT36" i="58"/>
  <c r="N40" i="58"/>
  <c r="E24" i="58"/>
  <c r="E42" i="58" s="1"/>
  <c r="E23" i="58"/>
  <c r="E41" i="58" s="1"/>
  <c r="E6" i="58"/>
  <c r="D3" i="58"/>
  <c r="D28" i="58" s="1"/>
  <c r="D32" i="58" s="1"/>
  <c r="D33" i="58" s="1"/>
  <c r="C32" i="58"/>
  <c r="C33" i="58" s="1"/>
  <c r="H17" i="58"/>
  <c r="N23" i="58" s="1"/>
  <c r="N41" i="58" s="1"/>
  <c r="I19" i="58"/>
  <c r="O25" i="58" s="1"/>
  <c r="O43" i="58" s="1"/>
  <c r="H18" i="58"/>
  <c r="N24" i="58" s="1"/>
  <c r="N42" i="58" s="1"/>
  <c r="I17" i="58"/>
  <c r="O23" i="58" s="1"/>
  <c r="O41" i="58" s="1"/>
  <c r="I18" i="58"/>
  <c r="O24" i="58" s="1"/>
  <c r="O42" i="58" s="1"/>
  <c r="H19" i="58"/>
  <c r="N25" i="58" s="1"/>
  <c r="N43" i="58" s="1"/>
  <c r="J18" i="58"/>
  <c r="P24" i="58" s="1"/>
  <c r="P42" i="58" s="1"/>
  <c r="J17" i="58"/>
  <c r="P23" i="58" s="1"/>
  <c r="P41" i="58" s="1"/>
  <c r="X19" i="58"/>
  <c r="AD25" i="58" s="1"/>
  <c r="AD43" i="58" s="1"/>
  <c r="C5" i="43"/>
  <c r="C6" i="43"/>
  <c r="P19" i="58"/>
  <c r="V25" i="58" s="1"/>
  <c r="V43" i="58" s="1"/>
  <c r="Y19" i="58"/>
  <c r="AE25" i="58" s="1"/>
  <c r="AE43" i="58" s="1"/>
  <c r="Z19" i="58"/>
  <c r="AF25" i="58" s="1"/>
  <c r="AF43" i="58" s="1"/>
  <c r="AA19" i="58"/>
  <c r="AG25" i="58" s="1"/>
  <c r="AG43" i="58" s="1"/>
  <c r="F80" i="60"/>
  <c r="D60" i="60"/>
  <c r="I94" i="60"/>
  <c r="W10" i="54"/>
  <c r="F68" i="60"/>
  <c r="J60" i="60"/>
  <c r="G95" i="60"/>
  <c r="L61" i="60"/>
  <c r="K75" i="60"/>
  <c r="C59" i="60"/>
  <c r="M60" i="60"/>
  <c r="L59" i="60"/>
  <c r="B44" i="54"/>
  <c r="C44" i="54" s="1"/>
  <c r="I61" i="60"/>
  <c r="K59" i="60"/>
  <c r="L60" i="60"/>
  <c r="M54" i="60"/>
  <c r="C61" i="60"/>
  <c r="H3" i="38"/>
  <c r="G2" i="39"/>
  <c r="B2" i="62"/>
  <c r="B7" i="62" s="1"/>
  <c r="K23" i="43"/>
  <c r="F25" i="43"/>
  <c r="F26" i="43" s="1"/>
  <c r="E67" i="60"/>
  <c r="J66" i="60"/>
  <c r="H74" i="60"/>
  <c r="G61" i="60"/>
  <c r="E89" i="60"/>
  <c r="H66" i="60"/>
  <c r="H68" i="60"/>
  <c r="D66" i="60"/>
  <c r="G59" i="60"/>
  <c r="C81" i="60"/>
  <c r="M59" i="60"/>
  <c r="I81" i="60"/>
  <c r="F60" i="60"/>
  <c r="D68" i="60"/>
  <c r="K67" i="60"/>
  <c r="E73" i="60"/>
  <c r="J68" i="60"/>
  <c r="B60" i="60"/>
  <c r="B61" i="60"/>
  <c r="B66" i="60"/>
  <c r="M58" i="60"/>
  <c r="I58" i="60"/>
  <c r="F58" i="60"/>
  <c r="D58" i="60"/>
  <c r="G58" i="60"/>
  <c r="C58" i="60"/>
  <c r="K51" i="60"/>
  <c r="G12" i="43" s="1"/>
  <c r="F12" i="43"/>
  <c r="H65" i="60"/>
  <c r="L58" i="60"/>
  <c r="J58" i="60"/>
  <c r="E58" i="60"/>
  <c r="B58" i="60"/>
  <c r="B14" i="39"/>
  <c r="J14" i="39"/>
  <c r="L14" i="39"/>
  <c r="H14" i="39"/>
  <c r="M14" i="39"/>
  <c r="F14" i="39"/>
  <c r="P14" i="39"/>
  <c r="O14" i="39"/>
  <c r="I14" i="39"/>
  <c r="C14" i="39"/>
  <c r="G14" i="39"/>
  <c r="N14" i="39"/>
  <c r="D14" i="39"/>
  <c r="Q14" i="39"/>
  <c r="E14" i="39"/>
  <c r="H30" i="54"/>
  <c r="H33" i="54" s="1"/>
  <c r="G33" i="54"/>
  <c r="B34" i="43" s="1"/>
  <c r="B6" i="38" s="1"/>
  <c r="B7" i="39" s="1"/>
  <c r="B11" i="39" s="1"/>
  <c r="W26" i="54"/>
  <c r="B11" i="38"/>
  <c r="C12" i="39"/>
  <c r="C12" i="38"/>
  <c r="R9" i="43"/>
  <c r="BI11" i="58" l="1"/>
  <c r="AW36" i="58"/>
  <c r="DV10" i="58"/>
  <c r="DJ35" i="58"/>
  <c r="DS11" i="58"/>
  <c r="DG36" i="58"/>
  <c r="CD10" i="58"/>
  <c r="BR35" i="58"/>
  <c r="BI12" i="58"/>
  <c r="AW37" i="58"/>
  <c r="CE12" i="58"/>
  <c r="BS37" i="58"/>
  <c r="DS12" i="58"/>
  <c r="DG37" i="58"/>
  <c r="EU12" i="58"/>
  <c r="EI37" i="58"/>
  <c r="BT11" i="58"/>
  <c r="BH36" i="58"/>
  <c r="ET11" i="58"/>
  <c r="EH36" i="58"/>
  <c r="ES10" i="58"/>
  <c r="EG35" i="58"/>
  <c r="DR11" i="58"/>
  <c r="DF36" i="58"/>
  <c r="CR10" i="58"/>
  <c r="CF35" i="58"/>
  <c r="DU13" i="58"/>
  <c r="DI38" i="58"/>
  <c r="CE11" i="58"/>
  <c r="BS36" i="58"/>
  <c r="CN12" i="58"/>
  <c r="CB37" i="58"/>
  <c r="CC12" i="58"/>
  <c r="BQ37" i="58"/>
  <c r="DR12" i="58"/>
  <c r="DF37" i="58"/>
  <c r="BT12" i="58"/>
  <c r="BH37" i="58"/>
  <c r="EU10" i="58"/>
  <c r="EI35" i="58"/>
  <c r="CC13" i="58"/>
  <c r="BQ38" i="58"/>
  <c r="EU11" i="58"/>
  <c r="EI36" i="58"/>
  <c r="BR12" i="58"/>
  <c r="BF37" i="58"/>
  <c r="BU10" i="58"/>
  <c r="BI35" i="58"/>
  <c r="DR13" i="58"/>
  <c r="DF38" i="58"/>
  <c r="DT13" i="58"/>
  <c r="DH38" i="58"/>
  <c r="CE13" i="58"/>
  <c r="BS38" i="58"/>
  <c r="EG11" i="58"/>
  <c r="DU36" i="58"/>
  <c r="EI13" i="58"/>
  <c r="DW38" i="58"/>
  <c r="EE13" i="58"/>
  <c r="DS38" i="58"/>
  <c r="DC10" i="58"/>
  <c r="CQ35" i="58"/>
  <c r="BR13" i="58"/>
  <c r="BF38" i="58"/>
  <c r="CC11" i="58"/>
  <c r="BQ36" i="58"/>
  <c r="BT13" i="58"/>
  <c r="BH38" i="58"/>
  <c r="CO10" i="58"/>
  <c r="CC35" i="58"/>
  <c r="BI13" i="58"/>
  <c r="AW38" i="58"/>
  <c r="CN13" i="58"/>
  <c r="CB38" i="58"/>
  <c r="BR11" i="58"/>
  <c r="BF36" i="58"/>
  <c r="CN11" i="58"/>
  <c r="CB36" i="58"/>
  <c r="DT12" i="58"/>
  <c r="DH37" i="58"/>
  <c r="B11" i="57"/>
  <c r="B4" i="57" s="1"/>
  <c r="AQ6" i="57" s="1"/>
  <c r="E30" i="58"/>
  <c r="N26" i="58"/>
  <c r="E29" i="58"/>
  <c r="F23" i="58"/>
  <c r="F24" i="58"/>
  <c r="E25" i="58"/>
  <c r="E43" i="58" s="1"/>
  <c r="J19" i="58"/>
  <c r="P25" i="58" s="1"/>
  <c r="P43" i="58" s="1"/>
  <c r="D7" i="58"/>
  <c r="D8" i="58" s="1"/>
  <c r="F5" i="58"/>
  <c r="F4" i="58"/>
  <c r="O17" i="58"/>
  <c r="U23" i="58" s="1"/>
  <c r="U41" i="58" s="1"/>
  <c r="O18" i="58"/>
  <c r="U24" i="58" s="1"/>
  <c r="U42" i="58" s="1"/>
  <c r="P18" i="58"/>
  <c r="V24" i="58" s="1"/>
  <c r="V42" i="58" s="1"/>
  <c r="N18" i="58"/>
  <c r="T24" i="58" s="1"/>
  <c r="T42" i="58" s="1"/>
  <c r="N17" i="58"/>
  <c r="T23" i="58" s="1"/>
  <c r="T41" i="58" s="1"/>
  <c r="P17" i="58"/>
  <c r="V23" i="58" s="1"/>
  <c r="V41" i="58" s="1"/>
  <c r="AJ19" i="58"/>
  <c r="AP25" i="58" s="1"/>
  <c r="AP43" i="58" s="1"/>
  <c r="C66" i="60"/>
  <c r="F75" i="60"/>
  <c r="D67" i="60"/>
  <c r="M67" i="60"/>
  <c r="I101" i="60"/>
  <c r="L66" i="60"/>
  <c r="B45" i="54"/>
  <c r="K82" i="60"/>
  <c r="G102" i="60"/>
  <c r="J67" i="60"/>
  <c r="L68" i="60"/>
  <c r="F87" i="60"/>
  <c r="R2" i="62"/>
  <c r="C68" i="60"/>
  <c r="K66" i="60"/>
  <c r="I68" i="60"/>
  <c r="M61" i="60"/>
  <c r="L67" i="60"/>
  <c r="H2" i="39"/>
  <c r="I3" i="38"/>
  <c r="L23" i="43"/>
  <c r="B8" i="62"/>
  <c r="G25" i="43"/>
  <c r="G26" i="43" s="1"/>
  <c r="I88" i="60"/>
  <c r="J73" i="60"/>
  <c r="D73" i="60"/>
  <c r="E96" i="60"/>
  <c r="E80" i="60"/>
  <c r="J75" i="60"/>
  <c r="D75" i="60"/>
  <c r="H73" i="60"/>
  <c r="H81" i="60"/>
  <c r="C88" i="60"/>
  <c r="K74" i="60"/>
  <c r="F67" i="60"/>
  <c r="M66" i="60"/>
  <c r="G66" i="60"/>
  <c r="H75" i="60"/>
  <c r="G68" i="60"/>
  <c r="E74" i="60"/>
  <c r="B68" i="60"/>
  <c r="B67" i="60"/>
  <c r="B73" i="60"/>
  <c r="F65" i="60"/>
  <c r="C65" i="60"/>
  <c r="D65" i="60"/>
  <c r="I65" i="60"/>
  <c r="E65" i="60"/>
  <c r="H72" i="60"/>
  <c r="K58" i="60"/>
  <c r="H12" i="43" s="1"/>
  <c r="L65" i="60"/>
  <c r="J65" i="60"/>
  <c r="G65" i="60"/>
  <c r="M65" i="60"/>
  <c r="B65" i="60"/>
  <c r="I30" i="54"/>
  <c r="I33" i="54" s="1"/>
  <c r="D34" i="43" s="1"/>
  <c r="D6" i="38" s="1"/>
  <c r="D7" i="39" s="1"/>
  <c r="D11" i="39" s="1"/>
  <c r="B12" i="38"/>
  <c r="B12" i="39"/>
  <c r="C34" i="43"/>
  <c r="H31" i="54"/>
  <c r="BF5" i="57" l="1"/>
  <c r="BX5" i="57"/>
  <c r="BS5" i="57"/>
  <c r="BS6" i="57"/>
  <c r="AR6" i="57"/>
  <c r="BK6" i="57"/>
  <c r="BH5" i="57"/>
  <c r="BI5" i="57"/>
  <c r="BX6" i="57"/>
  <c r="BP6" i="57"/>
  <c r="BN6" i="57"/>
  <c r="BD5" i="57"/>
  <c r="CZ13" i="58"/>
  <c r="CN38" i="58"/>
  <c r="CZ11" i="58"/>
  <c r="CN36" i="58"/>
  <c r="CO11" i="58"/>
  <c r="CC36" i="58"/>
  <c r="EQ13" i="58"/>
  <c r="EE38" i="58"/>
  <c r="CG10" i="58"/>
  <c r="BU35" i="58"/>
  <c r="CO13" i="58"/>
  <c r="CC38" i="58"/>
  <c r="ED12" i="58"/>
  <c r="DR37" i="58"/>
  <c r="CQ11" i="58"/>
  <c r="CE36" i="58"/>
  <c r="ED11" i="58"/>
  <c r="DR36" i="58"/>
  <c r="CF11" i="58"/>
  <c r="BT36" i="58"/>
  <c r="EE11" i="58"/>
  <c r="DS36" i="58"/>
  <c r="CD11" i="58"/>
  <c r="BR36" i="58"/>
  <c r="DA10" i="58"/>
  <c r="CO35" i="58"/>
  <c r="CD13" i="58"/>
  <c r="BR38" i="58"/>
  <c r="EU13" i="58"/>
  <c r="EI38" i="58"/>
  <c r="EF13" i="58"/>
  <c r="DT38" i="58"/>
  <c r="CD12" i="58"/>
  <c r="BR37" i="58"/>
  <c r="FG10" i="58"/>
  <c r="FG35" i="58" s="1"/>
  <c r="EU35" i="58"/>
  <c r="CO12" i="58"/>
  <c r="CC37" i="58"/>
  <c r="EG13" i="58"/>
  <c r="DU38" i="58"/>
  <c r="FE10" i="58"/>
  <c r="FE35" i="58" s="1"/>
  <c r="ES35" i="58"/>
  <c r="FG12" i="58"/>
  <c r="FG37" i="58" s="1"/>
  <c r="EU37" i="58"/>
  <c r="BU12" i="58"/>
  <c r="BI37" i="58"/>
  <c r="EH10" i="58"/>
  <c r="DV35" i="58"/>
  <c r="EF12" i="58"/>
  <c r="DT37" i="58"/>
  <c r="BU13" i="58"/>
  <c r="BI38" i="58"/>
  <c r="CQ13" i="58"/>
  <c r="CE38" i="58"/>
  <c r="CQ12" i="58"/>
  <c r="CE37" i="58"/>
  <c r="CF13" i="58"/>
  <c r="BT38" i="58"/>
  <c r="DO10" i="58"/>
  <c r="DC35" i="58"/>
  <c r="ES11" i="58"/>
  <c r="EG36" i="58"/>
  <c r="ED13" i="58"/>
  <c r="DR38" i="58"/>
  <c r="EU36" i="58"/>
  <c r="FG11" i="58"/>
  <c r="FG36" i="58" s="1"/>
  <c r="CF12" i="58"/>
  <c r="BT37" i="58"/>
  <c r="CZ12" i="58"/>
  <c r="CN37" i="58"/>
  <c r="DD10" i="58"/>
  <c r="CR35" i="58"/>
  <c r="FF11" i="58"/>
  <c r="FF36" i="58" s="1"/>
  <c r="ET36" i="58"/>
  <c r="EE12" i="58"/>
  <c r="DS37" i="58"/>
  <c r="CP10" i="58"/>
  <c r="CD35" i="58"/>
  <c r="BU11" i="58"/>
  <c r="BI36" i="58"/>
  <c r="CD6" i="57"/>
  <c r="B23" i="57"/>
  <c r="C22" i="57" s="1"/>
  <c r="D22" i="57" s="1"/>
  <c r="E22" i="57" s="1"/>
  <c r="BE5" i="57"/>
  <c r="DL7" i="57"/>
  <c r="CA5" i="57"/>
  <c r="BU5" i="57"/>
  <c r="AV6" i="57"/>
  <c r="BV5" i="57"/>
  <c r="AW6" i="57"/>
  <c r="BW5" i="57"/>
  <c r="AX6" i="57"/>
  <c r="AN5" i="57"/>
  <c r="BZ5" i="57"/>
  <c r="BO6" i="57"/>
  <c r="BW6" i="57"/>
  <c r="AT6" i="57"/>
  <c r="AO5" i="57"/>
  <c r="CE5" i="57"/>
  <c r="AU6" i="57"/>
  <c r="BL5" i="57"/>
  <c r="BN5" i="57"/>
  <c r="BN7" i="57" s="1"/>
  <c r="BO5" i="57"/>
  <c r="AL6" i="57"/>
  <c r="BZ6" i="57"/>
  <c r="BR5" i="57"/>
  <c r="BQ6" i="57"/>
  <c r="AN6" i="57"/>
  <c r="CE6" i="57"/>
  <c r="CZ7" i="57"/>
  <c r="BD6" i="57"/>
  <c r="BD7" i="57" s="1"/>
  <c r="CB5" i="57"/>
  <c r="BH6" i="57"/>
  <c r="BH7" i="57" s="1"/>
  <c r="AL5" i="57"/>
  <c r="CC5" i="57"/>
  <c r="BI6" i="57"/>
  <c r="BI7" i="57" s="1"/>
  <c r="AM5" i="57"/>
  <c r="CD5" i="57"/>
  <c r="CD7" i="57" s="1"/>
  <c r="BJ6" i="57"/>
  <c r="AV5" i="57"/>
  <c r="AV7" i="57" s="1"/>
  <c r="DJ7" i="57"/>
  <c r="CG5" i="57"/>
  <c r="CA6" i="57"/>
  <c r="AM6" i="57"/>
  <c r="J24" i="57"/>
  <c r="AZ6" i="57"/>
  <c r="AU5" i="57"/>
  <c r="BA6" i="57"/>
  <c r="CQ7" i="57"/>
  <c r="BP5" i="57"/>
  <c r="BP7" i="57" s="1"/>
  <c r="CF5" i="57"/>
  <c r="BC6" i="57"/>
  <c r="BY5" i="57"/>
  <c r="C3" i="57"/>
  <c r="D3" i="57" s="1"/>
  <c r="E3" i="57" s="1"/>
  <c r="F3" i="57" s="1"/>
  <c r="G3" i="57" s="1"/>
  <c r="H3" i="57" s="1"/>
  <c r="I3" i="57" s="1"/>
  <c r="J3" i="57" s="1"/>
  <c r="K3" i="57" s="1"/>
  <c r="L3" i="57" s="1"/>
  <c r="M3" i="57" s="1"/>
  <c r="N3" i="57" s="1"/>
  <c r="O3" i="57" s="1"/>
  <c r="P3" i="57" s="1"/>
  <c r="Q3" i="57" s="1"/>
  <c r="R3" i="57" s="1"/>
  <c r="S3" i="57" s="1"/>
  <c r="T3" i="57" s="1"/>
  <c r="U3" i="57" s="1"/>
  <c r="V3" i="57" s="1"/>
  <c r="W3" i="57" s="1"/>
  <c r="X3" i="57" s="1"/>
  <c r="Y3" i="57" s="1"/>
  <c r="Z3" i="57" s="1"/>
  <c r="AA3" i="57" s="1"/>
  <c r="AB3" i="57" s="1"/>
  <c r="AC3" i="57" s="1"/>
  <c r="AD3" i="57" s="1"/>
  <c r="AE3" i="57" s="1"/>
  <c r="AF3" i="57" s="1"/>
  <c r="AG3" i="57" s="1"/>
  <c r="AH3" i="57" s="1"/>
  <c r="AI3" i="57" s="1"/>
  <c r="AJ3" i="57" s="1"/>
  <c r="AK3" i="57" s="1"/>
  <c r="AL3" i="57" s="1"/>
  <c r="AR5" i="57"/>
  <c r="AR7" i="57" s="1"/>
  <c r="BT6" i="57"/>
  <c r="AS5" i="57"/>
  <c r="BU6" i="57"/>
  <c r="AT5" i="57"/>
  <c r="BV6" i="57"/>
  <c r="BJ5" i="57"/>
  <c r="AP6" i="57"/>
  <c r="AP5" i="57"/>
  <c r="AP7" i="57" s="1"/>
  <c r="AY6" i="57"/>
  <c r="BF6" i="57"/>
  <c r="BF7" i="57" s="1"/>
  <c r="BG5" i="57"/>
  <c r="CW7" i="57"/>
  <c r="BG6" i="57"/>
  <c r="CB6" i="57"/>
  <c r="DF7" i="57"/>
  <c r="DO7" i="57"/>
  <c r="CH7" i="57"/>
  <c r="AX5" i="57"/>
  <c r="AQ5" i="57"/>
  <c r="AQ7" i="57" s="1"/>
  <c r="BT5" i="57"/>
  <c r="AY5" i="57"/>
  <c r="AY7" i="57" s="1"/>
  <c r="CS7" i="57"/>
  <c r="CF6" i="57"/>
  <c r="AZ5" i="57"/>
  <c r="CT7" i="57"/>
  <c r="CG6" i="57"/>
  <c r="BB5" i="57"/>
  <c r="CU7" i="57"/>
  <c r="BQ5" i="57"/>
  <c r="BB6" i="57"/>
  <c r="AW5" i="57"/>
  <c r="BE6" i="57"/>
  <c r="BL6" i="57"/>
  <c r="DH7" i="57"/>
  <c r="BM5" i="57"/>
  <c r="BM6" i="57"/>
  <c r="B15" i="38"/>
  <c r="B17" i="38" s="1"/>
  <c r="BC5" i="57"/>
  <c r="CX7" i="57"/>
  <c r="CL7" i="57"/>
  <c r="BK5" i="57"/>
  <c r="BK7" i="57" s="1"/>
  <c r="AS6" i="57"/>
  <c r="CC6" i="57"/>
  <c r="DN7" i="57"/>
  <c r="BR6" i="57"/>
  <c r="BA5" i="57"/>
  <c r="CK7" i="57"/>
  <c r="AO6" i="57"/>
  <c r="BY6" i="57"/>
  <c r="DI7" i="57"/>
  <c r="B18" i="57"/>
  <c r="G23" i="58"/>
  <c r="G41" i="58" s="1"/>
  <c r="F41" i="58"/>
  <c r="G24" i="58"/>
  <c r="G42" i="58" s="1"/>
  <c r="F42" i="58"/>
  <c r="E31" i="58"/>
  <c r="F6" i="58" s="1"/>
  <c r="F25" i="58"/>
  <c r="F29" i="58"/>
  <c r="F30" i="58"/>
  <c r="E3" i="58"/>
  <c r="E22" i="58" s="1"/>
  <c r="Q17" i="58"/>
  <c r="W23" i="58" s="1"/>
  <c r="W41" i="58" s="1"/>
  <c r="R18" i="58"/>
  <c r="X24" i="58" s="1"/>
  <c r="X42" i="58" s="1"/>
  <c r="Q19" i="58"/>
  <c r="W25" i="58" s="1"/>
  <c r="W43" i="58" s="1"/>
  <c r="R19" i="58"/>
  <c r="X25" i="58" s="1"/>
  <c r="X43" i="58" s="1"/>
  <c r="S18" i="58"/>
  <c r="Y24" i="58" s="1"/>
  <c r="Y42" i="58" s="1"/>
  <c r="Q18" i="58"/>
  <c r="W24" i="58" s="1"/>
  <c r="W42" i="58" s="1"/>
  <c r="S17" i="58"/>
  <c r="Y23" i="58" s="1"/>
  <c r="Y41" i="58" s="1"/>
  <c r="R17" i="58"/>
  <c r="X23" i="58" s="1"/>
  <c r="X41" i="58" s="1"/>
  <c r="AB19" i="58"/>
  <c r="AH25" i="58" s="1"/>
  <c r="AH43" i="58" s="1"/>
  <c r="AL19" i="58"/>
  <c r="AR25" i="58" s="1"/>
  <c r="AR43" i="58" s="1"/>
  <c r="AK19" i="58"/>
  <c r="AQ25" i="58" s="1"/>
  <c r="AQ43" i="58" s="1"/>
  <c r="W17" i="58"/>
  <c r="AC23" i="58" s="1"/>
  <c r="AC41" i="58" s="1"/>
  <c r="W19" i="58"/>
  <c r="AM19" i="58"/>
  <c r="AS25" i="58" s="1"/>
  <c r="AS43" i="58" s="1"/>
  <c r="J74" i="60"/>
  <c r="K89" i="60"/>
  <c r="D74" i="60"/>
  <c r="F94" i="60"/>
  <c r="I108" i="60"/>
  <c r="F82" i="60"/>
  <c r="L75" i="60"/>
  <c r="G109" i="60"/>
  <c r="L73" i="60"/>
  <c r="M74" i="60"/>
  <c r="C73" i="60"/>
  <c r="L74" i="60"/>
  <c r="K73" i="60"/>
  <c r="I75" i="60"/>
  <c r="M68" i="60"/>
  <c r="C75" i="60"/>
  <c r="I2" i="39"/>
  <c r="J3" i="38"/>
  <c r="B30" i="43"/>
  <c r="B31" i="43" s="1"/>
  <c r="M23" i="43"/>
  <c r="H25" i="43"/>
  <c r="I25" i="43" s="1"/>
  <c r="I26" i="43" s="1"/>
  <c r="E81" i="60"/>
  <c r="H82" i="60"/>
  <c r="M73" i="60"/>
  <c r="K81" i="60"/>
  <c r="H88" i="60"/>
  <c r="D82" i="60"/>
  <c r="E87" i="60"/>
  <c r="I95" i="60"/>
  <c r="F74" i="60"/>
  <c r="C95" i="60"/>
  <c r="H80" i="60"/>
  <c r="J82" i="60"/>
  <c r="E103" i="60"/>
  <c r="D80" i="60"/>
  <c r="G75" i="60"/>
  <c r="J80" i="60"/>
  <c r="G73" i="60"/>
  <c r="B74" i="60"/>
  <c r="B75" i="60"/>
  <c r="B80" i="60"/>
  <c r="M72" i="60"/>
  <c r="L72" i="60"/>
  <c r="I72" i="60"/>
  <c r="C72" i="60"/>
  <c r="F72" i="60"/>
  <c r="H79" i="60"/>
  <c r="J72" i="60"/>
  <c r="G72" i="60"/>
  <c r="E72" i="60"/>
  <c r="D72" i="60"/>
  <c r="K65" i="60"/>
  <c r="I12" i="43" s="1"/>
  <c r="B72" i="60"/>
  <c r="J30" i="54"/>
  <c r="J33" i="54" s="1"/>
  <c r="E34" i="43" s="1"/>
  <c r="E6" i="38" s="1"/>
  <c r="E7" i="39" s="1"/>
  <c r="E11" i="39" s="1"/>
  <c r="CR7" i="57"/>
  <c r="CM7" i="57"/>
  <c r="BX7" i="57"/>
  <c r="L25" i="57"/>
  <c r="DD7" i="57"/>
  <c r="DE7" i="57"/>
  <c r="DA7" i="57"/>
  <c r="I31" i="54"/>
  <c r="H32" i="54"/>
  <c r="BS7" i="57"/>
  <c r="C6" i="38"/>
  <c r="C7" i="39" s="1"/>
  <c r="C11" i="39" s="1"/>
  <c r="AW7" i="57" l="1"/>
  <c r="AZ7" i="57"/>
  <c r="CE7" i="57"/>
  <c r="BO7" i="57"/>
  <c r="BE7" i="57"/>
  <c r="BA7" i="57"/>
  <c r="AL7" i="57"/>
  <c r="AS7" i="57"/>
  <c r="CF7" i="57"/>
  <c r="BG7" i="57"/>
  <c r="AO7" i="57"/>
  <c r="BL7" i="57"/>
  <c r="CC7" i="57"/>
  <c r="BJ7" i="57"/>
  <c r="BZ7" i="57"/>
  <c r="BQ7" i="57"/>
  <c r="BV7" i="57"/>
  <c r="BT7" i="57"/>
  <c r="CI7" i="57"/>
  <c r="E33" i="43"/>
  <c r="AN7" i="57"/>
  <c r="L33" i="43"/>
  <c r="DP10" i="58"/>
  <c r="DD35" i="58"/>
  <c r="FG13" i="58"/>
  <c r="FG38" i="58" s="1"/>
  <c r="EU38" i="58"/>
  <c r="CP11" i="58"/>
  <c r="CD36" i="58"/>
  <c r="EP11" i="58"/>
  <c r="ED36" i="58"/>
  <c r="DL12" i="58"/>
  <c r="CZ37" i="58"/>
  <c r="EP13" i="58"/>
  <c r="ED38" i="58"/>
  <c r="CR13" i="58"/>
  <c r="CF38" i="58"/>
  <c r="CG13" i="58"/>
  <c r="BU38" i="58"/>
  <c r="CG12" i="58"/>
  <c r="BU37" i="58"/>
  <c r="ES13" i="58"/>
  <c r="EG38" i="58"/>
  <c r="CP12" i="58"/>
  <c r="CD37" i="58"/>
  <c r="CP13" i="58"/>
  <c r="CD38" i="58"/>
  <c r="EQ11" i="58"/>
  <c r="EE36" i="58"/>
  <c r="DC11" i="58"/>
  <c r="CQ36" i="58"/>
  <c r="CS10" i="58"/>
  <c r="CG35" i="58"/>
  <c r="DL11" i="58"/>
  <c r="CZ36" i="58"/>
  <c r="DB10" i="58"/>
  <c r="CP35" i="58"/>
  <c r="EA10" i="58"/>
  <c r="DO35" i="58"/>
  <c r="DC13" i="58"/>
  <c r="CQ38" i="58"/>
  <c r="ET10" i="58"/>
  <c r="EH35" i="58"/>
  <c r="DA11" i="58"/>
  <c r="CO36" i="58"/>
  <c r="CY7" i="57"/>
  <c r="AU7" i="57"/>
  <c r="EQ12" i="58"/>
  <c r="EE37" i="58"/>
  <c r="BM7" i="57"/>
  <c r="AX7" i="57"/>
  <c r="H33" i="43"/>
  <c r="AM3" i="57"/>
  <c r="AN3" i="57" s="1"/>
  <c r="AO3" i="57" s="1"/>
  <c r="AP3" i="57" s="1"/>
  <c r="AQ3" i="57" s="1"/>
  <c r="AR3" i="57" s="1"/>
  <c r="AS3" i="57" s="1"/>
  <c r="AT3" i="57" s="1"/>
  <c r="AU3" i="57" s="1"/>
  <c r="AV3" i="57" s="1"/>
  <c r="AW3" i="57" s="1"/>
  <c r="AX3" i="57" s="1"/>
  <c r="AY3" i="57" s="1"/>
  <c r="AZ3" i="57" s="1"/>
  <c r="BA3" i="57" s="1"/>
  <c r="BB3" i="57" s="1"/>
  <c r="BC3" i="57" s="1"/>
  <c r="BD3" i="57" s="1"/>
  <c r="BE3" i="57" s="1"/>
  <c r="BF3" i="57" s="1"/>
  <c r="BG3" i="57" s="1"/>
  <c r="BH3" i="57" s="1"/>
  <c r="BI3" i="57" s="1"/>
  <c r="BJ3" i="57" s="1"/>
  <c r="BK3" i="57" s="1"/>
  <c r="BL3" i="57" s="1"/>
  <c r="BM3" i="57" s="1"/>
  <c r="BN3" i="57" s="1"/>
  <c r="BO3" i="57" s="1"/>
  <c r="BP3" i="57" s="1"/>
  <c r="BQ3" i="57" s="1"/>
  <c r="BR3" i="57" s="1"/>
  <c r="BS3" i="57" s="1"/>
  <c r="BT3" i="57" s="1"/>
  <c r="BU3" i="57" s="1"/>
  <c r="BV3" i="57" s="1"/>
  <c r="BW3" i="57" s="1"/>
  <c r="BX3" i="57" s="1"/>
  <c r="BY3" i="57" s="1"/>
  <c r="BZ3" i="57" s="1"/>
  <c r="CA3" i="57" s="1"/>
  <c r="CB3" i="57" s="1"/>
  <c r="CC3" i="57" s="1"/>
  <c r="CD3" i="57" s="1"/>
  <c r="CE3" i="57" s="1"/>
  <c r="CF3" i="57" s="1"/>
  <c r="CG3" i="57" s="1"/>
  <c r="CH3" i="57" s="1"/>
  <c r="CI3" i="57" s="1"/>
  <c r="CJ3" i="57" s="1"/>
  <c r="CK3" i="57" s="1"/>
  <c r="CL3" i="57" s="1"/>
  <c r="CM3" i="57" s="1"/>
  <c r="CN3" i="57" s="1"/>
  <c r="CO3" i="57" s="1"/>
  <c r="CP3" i="57" s="1"/>
  <c r="CQ3" i="57" s="1"/>
  <c r="CR3" i="57" s="1"/>
  <c r="CS3" i="57" s="1"/>
  <c r="CT3" i="57" s="1"/>
  <c r="CU3" i="57" s="1"/>
  <c r="CV3" i="57" s="1"/>
  <c r="CW3" i="57" s="1"/>
  <c r="CX3" i="57" s="1"/>
  <c r="CY3" i="57" s="1"/>
  <c r="CZ3" i="57" s="1"/>
  <c r="DA3" i="57" s="1"/>
  <c r="DB3" i="57" s="1"/>
  <c r="DC3" i="57" s="1"/>
  <c r="DD3" i="57" s="1"/>
  <c r="DE3" i="57" s="1"/>
  <c r="DF3" i="57" s="1"/>
  <c r="DG3" i="57" s="1"/>
  <c r="DH3" i="57" s="1"/>
  <c r="DI3" i="57" s="1"/>
  <c r="DJ3" i="57" s="1"/>
  <c r="DK3" i="57" s="1"/>
  <c r="DL3" i="57" s="1"/>
  <c r="DM3" i="57" s="1"/>
  <c r="DN3" i="57" s="1"/>
  <c r="DO3" i="57" s="1"/>
  <c r="DP3" i="57" s="1"/>
  <c r="DQ3" i="57" s="1"/>
  <c r="DR3" i="57" s="1"/>
  <c r="DS3" i="57" s="1"/>
  <c r="DT3" i="57" s="1"/>
  <c r="DU3" i="57" s="1"/>
  <c r="DV3" i="57" s="1"/>
  <c r="DW3" i="57" s="1"/>
  <c r="DX3" i="57" s="1"/>
  <c r="DP7" i="57"/>
  <c r="CG7" i="57"/>
  <c r="BW7" i="57"/>
  <c r="BU7" i="57"/>
  <c r="G24" i="57"/>
  <c r="DA13" i="58"/>
  <c r="CO38" i="58"/>
  <c r="E25" i="57"/>
  <c r="DM7" i="57"/>
  <c r="DC7" i="57"/>
  <c r="G33" i="43"/>
  <c r="I25" i="57"/>
  <c r="CN7" i="57"/>
  <c r="BY7" i="57"/>
  <c r="DG7" i="57"/>
  <c r="CJ7" i="57"/>
  <c r="CG11" i="58"/>
  <c r="BU36" i="58"/>
  <c r="CR12" i="58"/>
  <c r="CF37" i="58"/>
  <c r="FE11" i="58"/>
  <c r="FE36" i="58" s="1"/>
  <c r="ES36" i="58"/>
  <c r="DC12" i="58"/>
  <c r="CQ37" i="58"/>
  <c r="ER12" i="58"/>
  <c r="EF37" i="58"/>
  <c r="DA12" i="58"/>
  <c r="CO37" i="58"/>
  <c r="ER13" i="58"/>
  <c r="EF38" i="58"/>
  <c r="DM10" i="58"/>
  <c r="DA35" i="58"/>
  <c r="CR11" i="58"/>
  <c r="CF36" i="58"/>
  <c r="EP12" i="58"/>
  <c r="ED37" i="58"/>
  <c r="FC13" i="58"/>
  <c r="EQ38" i="58"/>
  <c r="DL13" i="58"/>
  <c r="CZ38" i="58"/>
  <c r="F24" i="57"/>
  <c r="BC7" i="57"/>
  <c r="CP7" i="57"/>
  <c r="L24" i="57"/>
  <c r="L26" i="57" s="1"/>
  <c r="G25" i="57"/>
  <c r="G16" i="38"/>
  <c r="G17" i="38" s="1"/>
  <c r="BR7" i="57"/>
  <c r="DK7" i="57"/>
  <c r="K24" i="57"/>
  <c r="F25" i="57"/>
  <c r="CV7" i="57"/>
  <c r="CO7" i="57"/>
  <c r="F16" i="38"/>
  <c r="F17" i="38" s="1"/>
  <c r="DQ7" i="57"/>
  <c r="I16" i="38"/>
  <c r="I17" i="38" s="1"/>
  <c r="CB7" i="57"/>
  <c r="AM7" i="57"/>
  <c r="F33" i="43"/>
  <c r="H16" i="38"/>
  <c r="H17" i="38" s="1"/>
  <c r="BB7" i="57"/>
  <c r="E24" i="57"/>
  <c r="F22" i="57" s="1"/>
  <c r="CA7" i="57"/>
  <c r="I24" i="57"/>
  <c r="H24" i="57"/>
  <c r="E16" i="38"/>
  <c r="E17" i="38" s="1"/>
  <c r="AT7" i="57"/>
  <c r="K25" i="57"/>
  <c r="K26" i="57" s="1"/>
  <c r="J25" i="57"/>
  <c r="J26" i="57" s="1"/>
  <c r="I33" i="43"/>
  <c r="H25" i="57"/>
  <c r="DB7" i="57"/>
  <c r="J33" i="43"/>
  <c r="J16" i="38"/>
  <c r="J17" i="38" s="1"/>
  <c r="K33" i="43"/>
  <c r="F22" i="58"/>
  <c r="E40" i="58"/>
  <c r="G25" i="58"/>
  <c r="G43" i="58" s="1"/>
  <c r="F43" i="58"/>
  <c r="F31" i="58"/>
  <c r="G6" i="58" s="1"/>
  <c r="E28" i="58"/>
  <c r="E32" i="58" s="1"/>
  <c r="E33" i="58" s="1"/>
  <c r="G5" i="58"/>
  <c r="K17" i="58"/>
  <c r="Q23" i="58" s="1"/>
  <c r="Q41" i="58" s="1"/>
  <c r="E26" i="58"/>
  <c r="S19" i="58"/>
  <c r="Y25" i="58" s="1"/>
  <c r="Y43" i="58" s="1"/>
  <c r="K19" i="58"/>
  <c r="Q25" i="58" s="1"/>
  <c r="Q43" i="58" s="1"/>
  <c r="G4" i="58"/>
  <c r="E7" i="58"/>
  <c r="E8" i="58" s="1"/>
  <c r="AC18" i="58"/>
  <c r="AI24" i="58" s="1"/>
  <c r="AI42" i="58" s="1"/>
  <c r="I16" i="58"/>
  <c r="AC17" i="58"/>
  <c r="AI23" i="58" s="1"/>
  <c r="AI41" i="58" s="1"/>
  <c r="AC19" i="58"/>
  <c r="AI25" i="58" s="1"/>
  <c r="AI43" i="58" s="1"/>
  <c r="J16" i="58"/>
  <c r="X18" i="58"/>
  <c r="AD24" i="58" s="1"/>
  <c r="AD42" i="58" s="1"/>
  <c r="AB17" i="58"/>
  <c r="AH23" i="58" s="1"/>
  <c r="AH41" i="58" s="1"/>
  <c r="X17" i="58"/>
  <c r="AD23" i="58" s="1"/>
  <c r="AD41" i="58" s="1"/>
  <c r="AB18" i="58"/>
  <c r="AH24" i="58" s="1"/>
  <c r="AH42" i="58" s="1"/>
  <c r="Y17" i="58"/>
  <c r="AE23" i="58" s="1"/>
  <c r="AE41" i="58" s="1"/>
  <c r="Z18" i="58"/>
  <c r="AF24" i="58" s="1"/>
  <c r="AF42" i="58" s="1"/>
  <c r="W18" i="58"/>
  <c r="AA17" i="58"/>
  <c r="AG23" i="58" s="1"/>
  <c r="AG41" i="58" s="1"/>
  <c r="Z17" i="58"/>
  <c r="AF23" i="58" s="1"/>
  <c r="AF41" i="58" s="1"/>
  <c r="Y18" i="58"/>
  <c r="AE24" i="58" s="1"/>
  <c r="AE42" i="58" s="1"/>
  <c r="AA18" i="58"/>
  <c r="AG24" i="58" s="1"/>
  <c r="AG42" i="58" s="1"/>
  <c r="C4" i="43"/>
  <c r="C3" i="43" s="1"/>
  <c r="AC25" i="58"/>
  <c r="AC43" i="58" s="1"/>
  <c r="AV19" i="58"/>
  <c r="BB25" i="58" s="1"/>
  <c r="BB43" i="58" s="1"/>
  <c r="L82" i="60"/>
  <c r="D81" i="60"/>
  <c r="C80" i="60"/>
  <c r="L80" i="60"/>
  <c r="I115" i="60"/>
  <c r="F89" i="60"/>
  <c r="K96" i="60"/>
  <c r="M81" i="60"/>
  <c r="G116" i="60"/>
  <c r="F101" i="60"/>
  <c r="J81" i="60"/>
  <c r="M75" i="60"/>
  <c r="K80" i="60"/>
  <c r="C82" i="60"/>
  <c r="I82" i="60"/>
  <c r="L81" i="60"/>
  <c r="K3" i="38"/>
  <c r="J2" i="39"/>
  <c r="B32" i="43"/>
  <c r="B35" i="43" s="1"/>
  <c r="B6" i="39"/>
  <c r="N23" i="43"/>
  <c r="H26" i="43"/>
  <c r="G82" i="60"/>
  <c r="I102" i="60"/>
  <c r="E110" i="60"/>
  <c r="H87" i="60"/>
  <c r="F81" i="60"/>
  <c r="E94" i="60"/>
  <c r="H95" i="60"/>
  <c r="M80" i="60"/>
  <c r="G80" i="60"/>
  <c r="J87" i="60"/>
  <c r="J89" i="60"/>
  <c r="D87" i="60"/>
  <c r="C102" i="60"/>
  <c r="D89" i="60"/>
  <c r="K88" i="60"/>
  <c r="H89" i="60"/>
  <c r="E88" i="60"/>
  <c r="B82" i="60"/>
  <c r="B81" i="60"/>
  <c r="B87" i="60"/>
  <c r="D79" i="60"/>
  <c r="G79" i="60"/>
  <c r="M79" i="60"/>
  <c r="L79" i="60"/>
  <c r="E79" i="60"/>
  <c r="J79" i="60"/>
  <c r="H86" i="60"/>
  <c r="C79" i="60"/>
  <c r="K72" i="60"/>
  <c r="F79" i="60"/>
  <c r="I79" i="60"/>
  <c r="B79" i="60"/>
  <c r="K30" i="54"/>
  <c r="L30" i="54" s="1"/>
  <c r="J25" i="43"/>
  <c r="J26" i="43" s="1"/>
  <c r="J31" i="54"/>
  <c r="I32" i="54"/>
  <c r="I26" i="57" l="1"/>
  <c r="G26" i="57"/>
  <c r="G22" i="57"/>
  <c r="H22" i="57" s="1"/>
  <c r="I22" i="57" s="1"/>
  <c r="J22" i="57" s="1"/>
  <c r="K22" i="57" s="1"/>
  <c r="L22" i="57" s="1"/>
  <c r="F26" i="57"/>
  <c r="H26" i="57"/>
  <c r="DX13" i="58"/>
  <c r="DL38" i="58"/>
  <c r="DD11" i="58"/>
  <c r="CR36" i="58"/>
  <c r="DM12" i="58"/>
  <c r="DA37" i="58"/>
  <c r="DM11" i="58"/>
  <c r="DA36" i="58"/>
  <c r="EM10" i="58"/>
  <c r="EA35" i="58"/>
  <c r="DE10" i="58"/>
  <c r="CS35" i="58"/>
  <c r="DB13" i="58"/>
  <c r="CP38" i="58"/>
  <c r="CS12" i="58"/>
  <c r="CG37" i="58"/>
  <c r="FB13" i="58"/>
  <c r="EP38" i="58"/>
  <c r="DB11" i="58"/>
  <c r="CP36" i="58"/>
  <c r="FO13" i="58"/>
  <c r="FO38" i="58" s="1"/>
  <c r="FC38" i="58"/>
  <c r="DY10" i="58"/>
  <c r="DM35" i="58"/>
  <c r="FD12" i="58"/>
  <c r="FD37" i="58" s="1"/>
  <c r="ER37" i="58"/>
  <c r="DD12" i="58"/>
  <c r="CR37" i="58"/>
  <c r="FC12" i="58"/>
  <c r="EQ37" i="58"/>
  <c r="FF10" i="58"/>
  <c r="FF35" i="58" s="1"/>
  <c r="ET35" i="58"/>
  <c r="DN10" i="58"/>
  <c r="DB35" i="58"/>
  <c r="DO11" i="58"/>
  <c r="DC36" i="58"/>
  <c r="DB12" i="58"/>
  <c r="CP37" i="58"/>
  <c r="CS13" i="58"/>
  <c r="CG38" i="58"/>
  <c r="DX12" i="58"/>
  <c r="DL37" i="58"/>
  <c r="DM13" i="58"/>
  <c r="DA38" i="58"/>
  <c r="FB12" i="58"/>
  <c r="EP37" i="58"/>
  <c r="FD13" i="58"/>
  <c r="FD38" i="58" s="1"/>
  <c r="ER38" i="58"/>
  <c r="DO12" i="58"/>
  <c r="DC37" i="58"/>
  <c r="CS11" i="58"/>
  <c r="CG36" i="58"/>
  <c r="DO13" i="58"/>
  <c r="DC38" i="58"/>
  <c r="DX11" i="58"/>
  <c r="DL36" i="58"/>
  <c r="FC11" i="58"/>
  <c r="EQ36" i="58"/>
  <c r="FE13" i="58"/>
  <c r="FE38" i="58" s="1"/>
  <c r="ES38" i="58"/>
  <c r="DD13" i="58"/>
  <c r="CR38" i="58"/>
  <c r="FB11" i="58"/>
  <c r="EP36" i="58"/>
  <c r="EB10" i="58"/>
  <c r="DP35" i="58"/>
  <c r="E26" i="57"/>
  <c r="R33" i="43"/>
  <c r="T33" i="43" s="1"/>
  <c r="I20" i="58"/>
  <c r="O22" i="58"/>
  <c r="O40" i="58" s="1"/>
  <c r="J20" i="58"/>
  <c r="P22" i="58"/>
  <c r="P40" i="58" s="1"/>
  <c r="G22" i="58"/>
  <c r="G40" i="58" s="1"/>
  <c r="F40" i="58"/>
  <c r="G30" i="58"/>
  <c r="H5" i="58" s="1"/>
  <c r="G31" i="58"/>
  <c r="D7" i="43"/>
  <c r="K18" i="58"/>
  <c r="Q24" i="58" s="1"/>
  <c r="Q42" i="58" s="1"/>
  <c r="T17" i="58"/>
  <c r="Z23" i="58" s="1"/>
  <c r="Z41" i="58" s="1"/>
  <c r="G29" i="58"/>
  <c r="L18" i="58"/>
  <c r="R24" i="58" s="1"/>
  <c r="R42" i="58" s="1"/>
  <c r="L17" i="58"/>
  <c r="R23" i="58" s="1"/>
  <c r="R41" i="58" s="1"/>
  <c r="T19" i="58"/>
  <c r="Z25" i="58" s="1"/>
  <c r="Z43" i="58" s="1"/>
  <c r="L19" i="58"/>
  <c r="R25" i="58" s="1"/>
  <c r="R43" i="58" s="1"/>
  <c r="M18" i="58"/>
  <c r="S24" i="58" s="1"/>
  <c r="S42" i="58" s="1"/>
  <c r="F3" i="58"/>
  <c r="AD18" i="58"/>
  <c r="AJ24" i="58" s="1"/>
  <c r="AJ42" i="58" s="1"/>
  <c r="AD19" i="58"/>
  <c r="AJ25" i="58" s="1"/>
  <c r="AJ43" i="58" s="1"/>
  <c r="H20" i="58"/>
  <c r="AD17" i="58"/>
  <c r="AJ23" i="58" s="1"/>
  <c r="AJ41" i="58" s="1"/>
  <c r="AE17" i="58"/>
  <c r="AK23" i="58" s="1"/>
  <c r="AK41" i="58" s="1"/>
  <c r="AC24" i="58"/>
  <c r="AC42" i="58" s="1"/>
  <c r="AN19" i="58"/>
  <c r="AT25" i="58" s="1"/>
  <c r="AT43" i="58" s="1"/>
  <c r="N16" i="58"/>
  <c r="N20" i="58" s="1"/>
  <c r="C3" i="39"/>
  <c r="C5" i="39" s="1"/>
  <c r="C46" i="43"/>
  <c r="C47" i="43" s="1"/>
  <c r="C42" i="43"/>
  <c r="C21" i="43"/>
  <c r="C8" i="43"/>
  <c r="C5" i="62" s="1"/>
  <c r="C7" i="62" s="1"/>
  <c r="C8" i="62" s="1"/>
  <c r="C30" i="43" s="1"/>
  <c r="C31" i="43" s="1"/>
  <c r="P16" i="58"/>
  <c r="P20" i="58" s="1"/>
  <c r="O16" i="58"/>
  <c r="O20" i="58" s="1"/>
  <c r="AW19" i="58"/>
  <c r="BC25" i="58" s="1"/>
  <c r="BC43" i="58" s="1"/>
  <c r="AY19" i="58"/>
  <c r="BE25" i="58" s="1"/>
  <c r="BE43" i="58" s="1"/>
  <c r="AI17" i="58"/>
  <c r="F96" i="60"/>
  <c r="F108" i="60"/>
  <c r="M88" i="60"/>
  <c r="L87" i="60"/>
  <c r="D88" i="60"/>
  <c r="L89" i="60"/>
  <c r="J88" i="60"/>
  <c r="G123" i="60"/>
  <c r="K103" i="60"/>
  <c r="I122" i="60"/>
  <c r="C87" i="60"/>
  <c r="L88" i="60"/>
  <c r="C89" i="60"/>
  <c r="I89" i="60"/>
  <c r="K87" i="60"/>
  <c r="M82" i="60"/>
  <c r="L3" i="38"/>
  <c r="K2" i="39"/>
  <c r="K16" i="38"/>
  <c r="K17" i="38" s="1"/>
  <c r="B36" i="43"/>
  <c r="B9" i="39" s="1"/>
  <c r="B8" i="39"/>
  <c r="O23" i="43"/>
  <c r="H96" i="60"/>
  <c r="D96" i="60"/>
  <c r="C109" i="60"/>
  <c r="J94" i="60"/>
  <c r="H102" i="60"/>
  <c r="H94" i="60"/>
  <c r="I109" i="60"/>
  <c r="K95" i="60"/>
  <c r="D94" i="60"/>
  <c r="E95" i="60"/>
  <c r="J96" i="60"/>
  <c r="G87" i="60"/>
  <c r="M87" i="60"/>
  <c r="E101" i="60"/>
  <c r="F88" i="60"/>
  <c r="E117" i="60"/>
  <c r="G89" i="60"/>
  <c r="B88" i="60"/>
  <c r="B89" i="60"/>
  <c r="B94" i="60"/>
  <c r="K79" i="60"/>
  <c r="H93" i="60"/>
  <c r="I86" i="60"/>
  <c r="J86" i="60"/>
  <c r="C86" i="60"/>
  <c r="L86" i="60"/>
  <c r="D86" i="60"/>
  <c r="G86" i="60"/>
  <c r="E86" i="60"/>
  <c r="J12" i="43"/>
  <c r="F86" i="60"/>
  <c r="M86" i="60"/>
  <c r="B86" i="60"/>
  <c r="K33" i="54"/>
  <c r="F34" i="43" s="1"/>
  <c r="F6" i="38" s="1"/>
  <c r="F7" i="39" s="1"/>
  <c r="F11" i="39" s="1"/>
  <c r="K25" i="43"/>
  <c r="K26" i="43" s="1"/>
  <c r="M30" i="54"/>
  <c r="M33" i="54" s="1"/>
  <c r="H34" i="43" s="1"/>
  <c r="H6" i="38" s="1"/>
  <c r="H7" i="39" s="1"/>
  <c r="H11" i="39" s="1"/>
  <c r="L33" i="54"/>
  <c r="G34" i="43" s="1"/>
  <c r="G6" i="38" s="1"/>
  <c r="G7" i="39" s="1"/>
  <c r="G11" i="39" s="1"/>
  <c r="J32" i="54"/>
  <c r="EN10" i="58" l="1"/>
  <c r="EB35" i="58"/>
  <c r="EA13" i="58"/>
  <c r="DO38" i="58"/>
  <c r="EJ12" i="58"/>
  <c r="DX37" i="58"/>
  <c r="EA11" i="58"/>
  <c r="DO36" i="58"/>
  <c r="FO12" i="58"/>
  <c r="FO37" i="58" s="1"/>
  <c r="FC37" i="58"/>
  <c r="EK10" i="58"/>
  <c r="DY35" i="58"/>
  <c r="FN13" i="58"/>
  <c r="FN38" i="58" s="1"/>
  <c r="FB38" i="58"/>
  <c r="DQ10" i="58"/>
  <c r="DE35" i="58"/>
  <c r="DY12" i="58"/>
  <c r="DM37" i="58"/>
  <c r="FN11" i="58"/>
  <c r="FN36" i="58" s="1"/>
  <c r="FB36" i="58"/>
  <c r="FO11" i="58"/>
  <c r="FO36" i="58" s="1"/>
  <c r="FC36" i="58"/>
  <c r="DE11" i="58"/>
  <c r="CS36" i="58"/>
  <c r="FN12" i="58"/>
  <c r="FN37" i="58" s="1"/>
  <c r="FB37" i="58"/>
  <c r="DE13" i="58"/>
  <c r="CS38" i="58"/>
  <c r="DZ10" i="58"/>
  <c r="DN35" i="58"/>
  <c r="DP12" i="58"/>
  <c r="DD37" i="58"/>
  <c r="DE12" i="58"/>
  <c r="CS37" i="58"/>
  <c r="EY10" i="58"/>
  <c r="EM35" i="58"/>
  <c r="DP11" i="58"/>
  <c r="DD36" i="58"/>
  <c r="P26" i="58"/>
  <c r="DP13" i="58"/>
  <c r="DD38" i="58"/>
  <c r="EJ11" i="58"/>
  <c r="DX36" i="58"/>
  <c r="EA12" i="58"/>
  <c r="DO37" i="58"/>
  <c r="DY13" i="58"/>
  <c r="DM38" i="58"/>
  <c r="DN12" i="58"/>
  <c r="DB37" i="58"/>
  <c r="DN11" i="58"/>
  <c r="DB36" i="58"/>
  <c r="DN13" i="58"/>
  <c r="DB38" i="58"/>
  <c r="DY11" i="58"/>
  <c r="DM36" i="58"/>
  <c r="EJ13" i="58"/>
  <c r="DX38" i="58"/>
  <c r="O26" i="58"/>
  <c r="AE18" i="58"/>
  <c r="AK24" i="58" s="1"/>
  <c r="AK42" i="58" s="1"/>
  <c r="H30" i="58"/>
  <c r="I5" i="58" s="1"/>
  <c r="D6" i="43"/>
  <c r="F28" i="58"/>
  <c r="F32" i="58" s="1"/>
  <c r="F33" i="58" s="1"/>
  <c r="H6" i="58"/>
  <c r="D5" i="43"/>
  <c r="T18" i="58"/>
  <c r="Z24" i="58" s="1"/>
  <c r="Z42" i="58" s="1"/>
  <c r="K16" i="58"/>
  <c r="D17" i="43"/>
  <c r="D18" i="43"/>
  <c r="M19" i="58"/>
  <c r="S25" i="58" s="1"/>
  <c r="S43" i="58" s="1"/>
  <c r="U18" i="58"/>
  <c r="AA24" i="58" s="1"/>
  <c r="AA42" i="58" s="1"/>
  <c r="V18" i="58"/>
  <c r="AB24" i="58" s="1"/>
  <c r="AB42" i="58" s="1"/>
  <c r="H4" i="58"/>
  <c r="U17" i="58"/>
  <c r="AA23" i="58" s="1"/>
  <c r="AA41" i="58" s="1"/>
  <c r="F26" i="58"/>
  <c r="U19" i="58"/>
  <c r="AA25" i="58" s="1"/>
  <c r="AA43" i="58" s="1"/>
  <c r="AE19" i="58"/>
  <c r="AK25" i="58" s="1"/>
  <c r="AK43" i="58" s="1"/>
  <c r="F7" i="58"/>
  <c r="F8" i="58" s="1"/>
  <c r="S16" i="58"/>
  <c r="S20" i="58" s="1"/>
  <c r="R16" i="58"/>
  <c r="R20" i="58" s="1"/>
  <c r="AO17" i="58"/>
  <c r="AU23" i="58" s="1"/>
  <c r="AU41" i="58" s="1"/>
  <c r="AN17" i="58"/>
  <c r="AT23" i="58" s="1"/>
  <c r="AT41" i="58" s="1"/>
  <c r="AK18" i="58"/>
  <c r="AQ24" i="58" s="1"/>
  <c r="AQ42" i="58" s="1"/>
  <c r="AM18" i="58"/>
  <c r="AS24" i="58" s="1"/>
  <c r="AS42" i="58" s="1"/>
  <c r="AL18" i="58"/>
  <c r="AR24" i="58" s="1"/>
  <c r="AR42" i="58" s="1"/>
  <c r="AN18" i="58"/>
  <c r="AT24" i="58" s="1"/>
  <c r="AT42" i="58" s="1"/>
  <c r="AK17" i="58"/>
  <c r="AQ23" i="58" s="1"/>
  <c r="AQ41" i="58" s="1"/>
  <c r="AJ17" i="58"/>
  <c r="AP23" i="58" s="1"/>
  <c r="AP41" i="58" s="1"/>
  <c r="AJ18" i="58"/>
  <c r="AP24" i="58" s="1"/>
  <c r="AP42" i="58" s="1"/>
  <c r="AL17" i="58"/>
  <c r="AR23" i="58" s="1"/>
  <c r="AR41" i="58" s="1"/>
  <c r="AM17" i="58"/>
  <c r="AS23" i="58" s="1"/>
  <c r="AS41" i="58" s="1"/>
  <c r="AO23" i="58"/>
  <c r="AO41" i="58" s="1"/>
  <c r="V22" i="58"/>
  <c r="V40" i="58" s="1"/>
  <c r="C48" i="43"/>
  <c r="C49" i="43" s="1"/>
  <c r="C6" i="39"/>
  <c r="C41" i="43"/>
  <c r="C32" i="43"/>
  <c r="C35" i="43" s="1"/>
  <c r="U22" i="58"/>
  <c r="U40" i="58" s="1"/>
  <c r="T22" i="58"/>
  <c r="T40" i="58" s="1"/>
  <c r="BH19" i="58"/>
  <c r="BN25" i="58" s="1"/>
  <c r="BN43" i="58" s="1"/>
  <c r="AI19" i="58"/>
  <c r="AO25" i="58" s="1"/>
  <c r="AO43" i="58" s="1"/>
  <c r="L96" i="60"/>
  <c r="L94" i="60"/>
  <c r="F115" i="60"/>
  <c r="F103" i="60"/>
  <c r="K12" i="43"/>
  <c r="C94" i="60"/>
  <c r="K110" i="60"/>
  <c r="J95" i="60"/>
  <c r="D95" i="60"/>
  <c r="M95" i="60"/>
  <c r="M89" i="60"/>
  <c r="C96" i="60"/>
  <c r="K94" i="60"/>
  <c r="L95" i="60"/>
  <c r="I96" i="60"/>
  <c r="M3" i="38"/>
  <c r="L2" i="39"/>
  <c r="L16" i="38"/>
  <c r="L17" i="38" s="1"/>
  <c r="B37" i="43"/>
  <c r="P23" i="43"/>
  <c r="G96" i="60"/>
  <c r="M94" i="60"/>
  <c r="J103" i="60"/>
  <c r="D101" i="60"/>
  <c r="H101" i="60"/>
  <c r="H109" i="60"/>
  <c r="J101" i="60"/>
  <c r="C116" i="60"/>
  <c r="D103" i="60"/>
  <c r="E124" i="60"/>
  <c r="G94" i="60"/>
  <c r="E108" i="60"/>
  <c r="E102" i="60"/>
  <c r="I116" i="60"/>
  <c r="H103" i="60"/>
  <c r="F95" i="60"/>
  <c r="K102" i="60"/>
  <c r="B96" i="60"/>
  <c r="B95" i="60"/>
  <c r="B101" i="60"/>
  <c r="F93" i="60"/>
  <c r="K86" i="60"/>
  <c r="D93" i="60"/>
  <c r="C93" i="60"/>
  <c r="L93" i="60"/>
  <c r="I93" i="60"/>
  <c r="H100" i="60"/>
  <c r="M93" i="60"/>
  <c r="J93" i="60"/>
  <c r="G93" i="60"/>
  <c r="E93" i="60"/>
  <c r="B93" i="60"/>
  <c r="K31" i="54"/>
  <c r="L31" i="54" s="1"/>
  <c r="L25" i="43"/>
  <c r="L26" i="43" s="1"/>
  <c r="N30" i="54"/>
  <c r="N33" i="54" s="1"/>
  <c r="I34" i="43" s="1"/>
  <c r="EK11" i="58" l="1"/>
  <c r="DY36" i="58"/>
  <c r="EV11" i="58"/>
  <c r="EJ36" i="58"/>
  <c r="DQ11" i="58"/>
  <c r="DE36" i="58"/>
  <c r="EV12" i="58"/>
  <c r="EJ37" i="58"/>
  <c r="DZ13" i="58"/>
  <c r="DN38" i="58"/>
  <c r="EK13" i="58"/>
  <c r="DY38" i="58"/>
  <c r="EB13" i="58"/>
  <c r="DP38" i="58"/>
  <c r="DQ12" i="58"/>
  <c r="DE37" i="58"/>
  <c r="DQ13" i="58"/>
  <c r="DE38" i="58"/>
  <c r="EC10" i="58"/>
  <c r="DQ35" i="58"/>
  <c r="EM13" i="58"/>
  <c r="EA38" i="58"/>
  <c r="DZ12" i="58"/>
  <c r="DN37" i="58"/>
  <c r="EL10" i="58"/>
  <c r="DZ35" i="58"/>
  <c r="EW10" i="58"/>
  <c r="EK35" i="58"/>
  <c r="EV13" i="58"/>
  <c r="EJ38" i="58"/>
  <c r="DZ11" i="58"/>
  <c r="DN36" i="58"/>
  <c r="EM12" i="58"/>
  <c r="EA37" i="58"/>
  <c r="FK10" i="58"/>
  <c r="FK35" i="58" s="1"/>
  <c r="EY35" i="58"/>
  <c r="EK12" i="58"/>
  <c r="DY37" i="58"/>
  <c r="EB11" i="58"/>
  <c r="DP36" i="58"/>
  <c r="EB12" i="58"/>
  <c r="DP37" i="58"/>
  <c r="EM11" i="58"/>
  <c r="EA36" i="58"/>
  <c r="EZ10" i="58"/>
  <c r="EN35" i="58"/>
  <c r="K20" i="58"/>
  <c r="Q22" i="58"/>
  <c r="Q40" i="58" s="1"/>
  <c r="T16" i="58"/>
  <c r="Z22" i="58" s="1"/>
  <c r="Z40" i="58" s="1"/>
  <c r="I30" i="58"/>
  <c r="J5" i="58" s="1"/>
  <c r="H29" i="58"/>
  <c r="I4" i="58" s="1"/>
  <c r="H31" i="58"/>
  <c r="I6" i="58" s="1"/>
  <c r="AF17" i="58"/>
  <c r="AL23" i="58" s="1"/>
  <c r="AL41" i="58" s="1"/>
  <c r="AF19" i="58"/>
  <c r="AL25" i="58" s="1"/>
  <c r="AL43" i="58" s="1"/>
  <c r="E7" i="43"/>
  <c r="V19" i="58"/>
  <c r="AB25" i="58" s="1"/>
  <c r="AB43" i="58" s="1"/>
  <c r="E18" i="43"/>
  <c r="E17" i="43"/>
  <c r="D16" i="43"/>
  <c r="M17" i="58"/>
  <c r="S23" i="58" s="1"/>
  <c r="S41" i="58" s="1"/>
  <c r="G3" i="58"/>
  <c r="Y22" i="58"/>
  <c r="Y40" i="58" s="1"/>
  <c r="AC16" i="58"/>
  <c r="AC20" i="58" s="1"/>
  <c r="AP19" i="58"/>
  <c r="AV25" i="58" s="1"/>
  <c r="AV43" i="58" s="1"/>
  <c r="Q16" i="58"/>
  <c r="Q20" i="58" s="1"/>
  <c r="X22" i="58"/>
  <c r="X40" i="58" s="1"/>
  <c r="AQ18" i="58"/>
  <c r="AW24" i="58" s="1"/>
  <c r="AW42" i="58" s="1"/>
  <c r="AP18" i="58"/>
  <c r="AV24" i="58" s="1"/>
  <c r="AV42" i="58" s="1"/>
  <c r="AQ17" i="58"/>
  <c r="AW23" i="58" s="1"/>
  <c r="AW41" i="58" s="1"/>
  <c r="AO19" i="58"/>
  <c r="AU25" i="58" s="1"/>
  <c r="AU43" i="58" s="1"/>
  <c r="AP17" i="58"/>
  <c r="AV23" i="58" s="1"/>
  <c r="AV41" i="58" s="1"/>
  <c r="AI18" i="58"/>
  <c r="AZ19" i="58"/>
  <c r="BF25" i="58" s="1"/>
  <c r="BF43" i="58" s="1"/>
  <c r="W16" i="58"/>
  <c r="W20" i="58" s="1"/>
  <c r="C8" i="39"/>
  <c r="C36" i="43"/>
  <c r="C37" i="43" s="1"/>
  <c r="V26" i="58"/>
  <c r="Y16" i="58"/>
  <c r="Y20" i="58" s="1"/>
  <c r="T26" i="58"/>
  <c r="U26" i="58"/>
  <c r="X16" i="58"/>
  <c r="X20" i="58" s="1"/>
  <c r="BK19" i="58"/>
  <c r="BQ25" i="58" s="1"/>
  <c r="BQ43" i="58" s="1"/>
  <c r="BI19" i="58"/>
  <c r="BO25" i="58" s="1"/>
  <c r="BO43" i="58" s="1"/>
  <c r="AU17" i="58"/>
  <c r="BA23" i="58" s="1"/>
  <c r="BA41" i="58" s="1"/>
  <c r="F122" i="60"/>
  <c r="D102" i="60"/>
  <c r="K117" i="60"/>
  <c r="L12" i="43"/>
  <c r="F110" i="60"/>
  <c r="L101" i="60"/>
  <c r="L103" i="60"/>
  <c r="M102" i="60"/>
  <c r="J102" i="60"/>
  <c r="C101" i="60"/>
  <c r="C103" i="60"/>
  <c r="I103" i="60"/>
  <c r="K101" i="60"/>
  <c r="M96" i="60"/>
  <c r="L102" i="60"/>
  <c r="N3" i="38"/>
  <c r="M2" i="39"/>
  <c r="M16" i="38"/>
  <c r="M17" i="38" s="1"/>
  <c r="B10" i="39"/>
  <c r="B13" i="39" s="1"/>
  <c r="B5" i="38"/>
  <c r="B7" i="38" s="1"/>
  <c r="B21" i="38" s="1"/>
  <c r="B22" i="38" s="1"/>
  <c r="C20" i="38" s="1"/>
  <c r="B38" i="43"/>
  <c r="Q23" i="43"/>
  <c r="G101" i="60"/>
  <c r="D110" i="60"/>
  <c r="J108" i="60"/>
  <c r="H108" i="60"/>
  <c r="D108" i="60"/>
  <c r="M101" i="60"/>
  <c r="C123" i="60"/>
  <c r="H116" i="60"/>
  <c r="F102" i="60"/>
  <c r="E109" i="60"/>
  <c r="K109" i="60"/>
  <c r="H110" i="60"/>
  <c r="I123" i="60"/>
  <c r="E115" i="60"/>
  <c r="J110" i="60"/>
  <c r="G103" i="60"/>
  <c r="B102" i="60"/>
  <c r="B103" i="60"/>
  <c r="B108" i="60"/>
  <c r="M100" i="60"/>
  <c r="K93" i="60"/>
  <c r="E100" i="60"/>
  <c r="J100" i="60"/>
  <c r="D100" i="60"/>
  <c r="F100" i="60"/>
  <c r="H107" i="60"/>
  <c r="L100" i="60"/>
  <c r="G100" i="60"/>
  <c r="I100" i="60"/>
  <c r="C100" i="60"/>
  <c r="B100" i="60"/>
  <c r="K32" i="54"/>
  <c r="M25" i="43"/>
  <c r="M26" i="43" s="1"/>
  <c r="M31" i="54"/>
  <c r="L32" i="54"/>
  <c r="I6" i="38"/>
  <c r="I7" i="39" s="1"/>
  <c r="I11" i="39" s="1"/>
  <c r="O30" i="54"/>
  <c r="O33" i="54" s="1"/>
  <c r="J34" i="43" s="1"/>
  <c r="EL12" i="58" l="1"/>
  <c r="DZ37" i="58"/>
  <c r="EC11" i="58"/>
  <c r="DQ36" i="58"/>
  <c r="EN12" i="58"/>
  <c r="EB37" i="58"/>
  <c r="FH13" i="58"/>
  <c r="FH38" i="58" s="1"/>
  <c r="EV38" i="58"/>
  <c r="EC13" i="58"/>
  <c r="DQ38" i="58"/>
  <c r="EW13" i="58"/>
  <c r="EK38" i="58"/>
  <c r="FL10" i="58"/>
  <c r="FL35" i="58" s="1"/>
  <c r="EZ35" i="58"/>
  <c r="EN11" i="58"/>
  <c r="EB36" i="58"/>
  <c r="EY12" i="58"/>
  <c r="EM37" i="58"/>
  <c r="FI10" i="58"/>
  <c r="FI35" i="58" s="1"/>
  <c r="EW35" i="58"/>
  <c r="EY13" i="58"/>
  <c r="EM38" i="58"/>
  <c r="EC12" i="58"/>
  <c r="DQ37" i="58"/>
  <c r="EL13" i="58"/>
  <c r="DZ38" i="58"/>
  <c r="FH11" i="58"/>
  <c r="FH36" i="58" s="1"/>
  <c r="EV36" i="58"/>
  <c r="EY11" i="58"/>
  <c r="EM36" i="58"/>
  <c r="EW12" i="58"/>
  <c r="EK37" i="58"/>
  <c r="EL11" i="58"/>
  <c r="DZ36" i="58"/>
  <c r="EX10" i="58"/>
  <c r="EL35" i="58"/>
  <c r="EO10" i="58"/>
  <c r="EC35" i="58"/>
  <c r="EN13" i="58"/>
  <c r="EB38" i="58"/>
  <c r="FH12" i="58"/>
  <c r="FH37" i="58" s="1"/>
  <c r="EV37" i="58"/>
  <c r="EW11" i="58"/>
  <c r="EK36" i="58"/>
  <c r="Z26" i="58"/>
  <c r="T20" i="58"/>
  <c r="Q26" i="58"/>
  <c r="I31" i="58"/>
  <c r="J6" i="58" s="1"/>
  <c r="I29" i="58"/>
  <c r="J4" i="58" s="1"/>
  <c r="G26" i="58"/>
  <c r="G28" i="58"/>
  <c r="G32" i="58" s="1"/>
  <c r="G33" i="58" s="1"/>
  <c r="J30" i="58"/>
  <c r="K5" i="58" s="1"/>
  <c r="K30" i="58" s="1"/>
  <c r="L5" i="58" s="1"/>
  <c r="E6" i="43"/>
  <c r="E5" i="43"/>
  <c r="AF18" i="58"/>
  <c r="L16" i="58"/>
  <c r="AG17" i="58"/>
  <c r="AM23" i="58" s="1"/>
  <c r="AM41" i="58" s="1"/>
  <c r="E16" i="43"/>
  <c r="V17" i="58"/>
  <c r="AB23" i="58" s="1"/>
  <c r="AB41" i="58" s="1"/>
  <c r="AG18" i="58"/>
  <c r="AM24" i="58" s="1"/>
  <c r="AM42" i="58" s="1"/>
  <c r="AH18" i="58"/>
  <c r="AN24" i="58" s="1"/>
  <c r="AN42" i="58" s="1"/>
  <c r="AG19" i="58"/>
  <c r="AM25" i="58" s="1"/>
  <c r="AM43" i="58" s="1"/>
  <c r="AQ19" i="58"/>
  <c r="AW25" i="58" s="1"/>
  <c r="AW43" i="58" s="1"/>
  <c r="W22" i="58"/>
  <c r="W40" i="58" s="1"/>
  <c r="G7" i="58"/>
  <c r="G8" i="58" s="1"/>
  <c r="Y26" i="58"/>
  <c r="AE16" i="58"/>
  <c r="AE20" i="58" s="1"/>
  <c r="AI22" i="58"/>
  <c r="AI40" i="58" s="1"/>
  <c r="X26" i="58"/>
  <c r="AO18" i="58"/>
  <c r="AU24" i="58" s="1"/>
  <c r="AU42" i="58" s="1"/>
  <c r="AZ17" i="58"/>
  <c r="BF23" i="58" s="1"/>
  <c r="BF41" i="58" s="1"/>
  <c r="AY18" i="58"/>
  <c r="BE24" i="58" s="1"/>
  <c r="BE42" i="58" s="1"/>
  <c r="AR17" i="58"/>
  <c r="AX23" i="58" s="1"/>
  <c r="AZ18" i="58"/>
  <c r="BF24" i="58" s="1"/>
  <c r="BF42" i="58" s="1"/>
  <c r="AY17" i="58"/>
  <c r="BE23" i="58" s="1"/>
  <c r="BE41" i="58" s="1"/>
  <c r="AW18" i="58"/>
  <c r="BC24" i="58" s="1"/>
  <c r="BC42" i="58" s="1"/>
  <c r="AW17" i="58"/>
  <c r="BC23" i="58" s="1"/>
  <c r="BC41" i="58" s="1"/>
  <c r="AV17" i="58"/>
  <c r="BB23" i="58" s="1"/>
  <c r="BB41" i="58" s="1"/>
  <c r="AO24" i="58"/>
  <c r="AO42" i="58" s="1"/>
  <c r="AV18" i="58"/>
  <c r="BB24" i="58" s="1"/>
  <c r="BB42" i="58" s="1"/>
  <c r="AX17" i="58"/>
  <c r="BD23" i="58" s="1"/>
  <c r="BD41" i="58" s="1"/>
  <c r="C38" i="43"/>
  <c r="AC22" i="58"/>
  <c r="AC40" i="58" s="1"/>
  <c r="AE22" i="58"/>
  <c r="AE40" i="58" s="1"/>
  <c r="AB16" i="58"/>
  <c r="AB20" i="58" s="1"/>
  <c r="Z16" i="58"/>
  <c r="Z20" i="58" s="1"/>
  <c r="C45" i="43"/>
  <c r="C5" i="38"/>
  <c r="C7" i="38" s="1"/>
  <c r="C21" i="38" s="1"/>
  <c r="C22" i="38" s="1"/>
  <c r="D20" i="38" s="1"/>
  <c r="C10" i="39"/>
  <c r="C13" i="39" s="1"/>
  <c r="AD22" i="58"/>
  <c r="AD40" i="58" s="1"/>
  <c r="C43" i="43"/>
  <c r="C44" i="43" s="1"/>
  <c r="C9" i="39"/>
  <c r="AA16" i="58"/>
  <c r="AA20" i="58" s="1"/>
  <c r="AU19" i="58"/>
  <c r="BT19" i="58"/>
  <c r="BZ25" i="58" s="1"/>
  <c r="BZ43" i="58" s="1"/>
  <c r="D109" i="60"/>
  <c r="J109" i="60"/>
  <c r="C108" i="60"/>
  <c r="M109" i="60"/>
  <c r="L108" i="60"/>
  <c r="K124" i="60"/>
  <c r="M12" i="43"/>
  <c r="R12" i="43" s="1"/>
  <c r="L110" i="60"/>
  <c r="F117" i="60"/>
  <c r="L109" i="60"/>
  <c r="I110" i="60"/>
  <c r="C110" i="60"/>
  <c r="K108" i="60"/>
  <c r="M103" i="60"/>
  <c r="N2" i="39"/>
  <c r="N16" i="38"/>
  <c r="N17" i="38" s="1"/>
  <c r="O3" i="38"/>
  <c r="B16" i="39"/>
  <c r="B18" i="39"/>
  <c r="B15" i="39"/>
  <c r="R23" i="43"/>
  <c r="T23" i="43" s="1"/>
  <c r="M108" i="60"/>
  <c r="H115" i="60"/>
  <c r="J117" i="60"/>
  <c r="E122" i="60"/>
  <c r="K116" i="60"/>
  <c r="J115" i="60"/>
  <c r="D115" i="60"/>
  <c r="G108" i="60"/>
  <c r="H123" i="60"/>
  <c r="G110" i="60"/>
  <c r="H117" i="60"/>
  <c r="E116" i="60"/>
  <c r="F109" i="60"/>
  <c r="D117" i="60"/>
  <c r="B109" i="60"/>
  <c r="B110" i="60"/>
  <c r="B115" i="60"/>
  <c r="E107" i="60"/>
  <c r="J107" i="60"/>
  <c r="L107" i="60"/>
  <c r="I107" i="60"/>
  <c r="F107" i="60"/>
  <c r="C107" i="60"/>
  <c r="G107" i="60"/>
  <c r="H114" i="60"/>
  <c r="D107" i="60"/>
  <c r="K100" i="60"/>
  <c r="M107" i="60"/>
  <c r="B107" i="60"/>
  <c r="N25" i="43"/>
  <c r="N26" i="43" s="1"/>
  <c r="J6" i="38"/>
  <c r="J7" i="39" s="1"/>
  <c r="J11" i="39" s="1"/>
  <c r="N31" i="54"/>
  <c r="M32" i="54"/>
  <c r="P30" i="54"/>
  <c r="P33" i="54" s="1"/>
  <c r="K34" i="43" s="1"/>
  <c r="K6" i="38" s="1"/>
  <c r="K7" i="39" s="1"/>
  <c r="K11" i="39" s="1"/>
  <c r="EZ13" i="58" l="1"/>
  <c r="EN38" i="58"/>
  <c r="EX11" i="58"/>
  <c r="EL36" i="58"/>
  <c r="FK13" i="58"/>
  <c r="FK38" i="58" s="1"/>
  <c r="EY38" i="58"/>
  <c r="EZ11" i="58"/>
  <c r="EN36" i="58"/>
  <c r="EO13" i="58"/>
  <c r="EC38" i="58"/>
  <c r="EO11" i="58"/>
  <c r="EC36" i="58"/>
  <c r="FJ10" i="58"/>
  <c r="FJ35" i="58" s="1"/>
  <c r="EX35" i="58"/>
  <c r="FK11" i="58"/>
  <c r="FK36" i="58" s="1"/>
  <c r="EY36" i="58"/>
  <c r="EO12" i="58"/>
  <c r="EC37" i="58"/>
  <c r="FK12" i="58"/>
  <c r="FK37" i="58" s="1"/>
  <c r="EY37" i="58"/>
  <c r="FI13" i="58"/>
  <c r="FI38" i="58" s="1"/>
  <c r="EW38" i="58"/>
  <c r="EZ12" i="58"/>
  <c r="EN37" i="58"/>
  <c r="FI11" i="58"/>
  <c r="FI36" i="58" s="1"/>
  <c r="EW36" i="58"/>
  <c r="FA10" i="58"/>
  <c r="EO35" i="58"/>
  <c r="FI12" i="58"/>
  <c r="FI37" i="58" s="1"/>
  <c r="EW37" i="58"/>
  <c r="EX13" i="58"/>
  <c r="EL38" i="58"/>
  <c r="EX12" i="58"/>
  <c r="EL37" i="58"/>
  <c r="BD17" i="58"/>
  <c r="BJ23" i="58" s="1"/>
  <c r="BJ41" i="58" s="1"/>
  <c r="AX41" i="58"/>
  <c r="L20" i="58"/>
  <c r="R22" i="58"/>
  <c r="R40" i="58" s="1"/>
  <c r="J29" i="58"/>
  <c r="K4" i="58" s="1"/>
  <c r="L30" i="58"/>
  <c r="M5" i="58" s="1"/>
  <c r="J31" i="58"/>
  <c r="K6" i="58" s="1"/>
  <c r="K31" i="58" s="1"/>
  <c r="L6" i="58" s="1"/>
  <c r="L31" i="58" s="1"/>
  <c r="M6" i="58" s="1"/>
  <c r="M31" i="58" s="1"/>
  <c r="N6" i="58" s="1"/>
  <c r="U16" i="58"/>
  <c r="U20" i="58" s="1"/>
  <c r="AL24" i="58"/>
  <c r="AL42" i="58" s="1"/>
  <c r="F17" i="43"/>
  <c r="F7" i="43"/>
  <c r="D15" i="43"/>
  <c r="D14" i="43" s="1"/>
  <c r="M16" i="58"/>
  <c r="AR19" i="58"/>
  <c r="AX25" i="58" s="1"/>
  <c r="AX43" i="58" s="1"/>
  <c r="AH19" i="58"/>
  <c r="AN25" i="58" s="1"/>
  <c r="AN43" i="58" s="1"/>
  <c r="F18" i="43"/>
  <c r="W26" i="58"/>
  <c r="H3" i="58"/>
  <c r="H28" i="58" s="1"/>
  <c r="H32" i="58" s="1"/>
  <c r="H33" i="58" s="1"/>
  <c r="BB19" i="58"/>
  <c r="BH25" i="58" s="1"/>
  <c r="BH43" i="58" s="1"/>
  <c r="AK22" i="58"/>
  <c r="AK40" i="58" s="1"/>
  <c r="AD16" i="58"/>
  <c r="AD20" i="58" s="1"/>
  <c r="AI26" i="58"/>
  <c r="BC17" i="58"/>
  <c r="BI23" i="58" s="1"/>
  <c r="BI41" i="58" s="1"/>
  <c r="AX19" i="58"/>
  <c r="BD25" i="58" s="1"/>
  <c r="BD43" i="58" s="1"/>
  <c r="BB18" i="58"/>
  <c r="BH24" i="58" s="1"/>
  <c r="BH42" i="58" s="1"/>
  <c r="BC18" i="58"/>
  <c r="BI24" i="58" s="1"/>
  <c r="BI42" i="58" s="1"/>
  <c r="AF16" i="58"/>
  <c r="AF20" i="58" s="1"/>
  <c r="BA19" i="58"/>
  <c r="BG25" i="58" s="1"/>
  <c r="BG43" i="58" s="1"/>
  <c r="BB17" i="58"/>
  <c r="BH23" i="58" s="1"/>
  <c r="BH41" i="58" s="1"/>
  <c r="AC26" i="58"/>
  <c r="AF22" i="58"/>
  <c r="AF40" i="58" s="1"/>
  <c r="BL19" i="58"/>
  <c r="BR25" i="58" s="1"/>
  <c r="BR43" i="58" s="1"/>
  <c r="C16" i="39"/>
  <c r="AH22" i="58"/>
  <c r="AH40" i="58" s="1"/>
  <c r="BA25" i="58"/>
  <c r="BA43" i="58" s="1"/>
  <c r="AG22" i="58"/>
  <c r="AG40" i="58" s="1"/>
  <c r="AD26" i="58"/>
  <c r="AE26" i="58"/>
  <c r="C15" i="39"/>
  <c r="C18" i="39"/>
  <c r="BG17" i="58"/>
  <c r="BM23" i="58" s="1"/>
  <c r="BM41" i="58" s="1"/>
  <c r="BW19" i="58"/>
  <c r="CC25" i="58" s="1"/>
  <c r="CC43" i="58" s="1"/>
  <c r="L117" i="60"/>
  <c r="M116" i="60"/>
  <c r="J116" i="60"/>
  <c r="F124" i="60"/>
  <c r="L115" i="60"/>
  <c r="C115" i="60"/>
  <c r="D116" i="60"/>
  <c r="K115" i="60"/>
  <c r="M110" i="60"/>
  <c r="I117" i="60"/>
  <c r="C117" i="60"/>
  <c r="L116" i="60"/>
  <c r="O16" i="38"/>
  <c r="O17" i="38" s="1"/>
  <c r="P3" i="38"/>
  <c r="O2" i="39"/>
  <c r="H122" i="60"/>
  <c r="D122" i="60"/>
  <c r="E123" i="60"/>
  <c r="D124" i="60"/>
  <c r="G117" i="60"/>
  <c r="G115" i="60"/>
  <c r="J122" i="60"/>
  <c r="K123" i="60"/>
  <c r="J124" i="60"/>
  <c r="F116" i="60"/>
  <c r="H124" i="60"/>
  <c r="M115" i="60"/>
  <c r="B116" i="60"/>
  <c r="B117" i="60"/>
  <c r="B122" i="60"/>
  <c r="K107" i="60"/>
  <c r="G114" i="60"/>
  <c r="F114" i="60"/>
  <c r="L114" i="60"/>
  <c r="C114" i="60"/>
  <c r="I114" i="60"/>
  <c r="J114" i="60"/>
  <c r="H121" i="60"/>
  <c r="D114" i="60"/>
  <c r="E114" i="60"/>
  <c r="M114" i="60"/>
  <c r="B114" i="60"/>
  <c r="O25" i="43"/>
  <c r="O26" i="43" s="1"/>
  <c r="Q30" i="54"/>
  <c r="Q33" i="54" s="1"/>
  <c r="L34" i="43" s="1"/>
  <c r="L6" i="38" s="1"/>
  <c r="L7" i="39" s="1"/>
  <c r="L11" i="39" s="1"/>
  <c r="O31" i="54"/>
  <c r="N32" i="54"/>
  <c r="FJ12" i="58" l="1"/>
  <c r="FJ37" i="58" s="1"/>
  <c r="EX37" i="58"/>
  <c r="FM10" i="58"/>
  <c r="FM35" i="58" s="1"/>
  <c r="FA35" i="58"/>
  <c r="FA13" i="58"/>
  <c r="EO38" i="58"/>
  <c r="FJ11" i="58"/>
  <c r="FJ36" i="58" s="1"/>
  <c r="EX36" i="58"/>
  <c r="FA11" i="58"/>
  <c r="EO36" i="58"/>
  <c r="FL12" i="58"/>
  <c r="FL37" i="58" s="1"/>
  <c r="EZ37" i="58"/>
  <c r="FA12" i="58"/>
  <c r="EO37" i="58"/>
  <c r="R26" i="58"/>
  <c r="FJ13" i="58"/>
  <c r="FJ38" i="58" s="1"/>
  <c r="EX38" i="58"/>
  <c r="FL11" i="58"/>
  <c r="FL36" i="58" s="1"/>
  <c r="EZ36" i="58"/>
  <c r="FL13" i="58"/>
  <c r="FL38" i="58" s="1"/>
  <c r="EZ38" i="58"/>
  <c r="M20" i="58"/>
  <c r="S22" i="58"/>
  <c r="S40" i="58" s="1"/>
  <c r="AA22" i="58"/>
  <c r="AA40" i="58" s="1"/>
  <c r="N31" i="58"/>
  <c r="O6" i="58" s="1"/>
  <c r="M30" i="58"/>
  <c r="N5" i="58" s="1"/>
  <c r="K29" i="58"/>
  <c r="L4" i="58" s="1"/>
  <c r="D4" i="43"/>
  <c r="D3" i="43" s="1"/>
  <c r="D3" i="39" s="1"/>
  <c r="F6" i="43"/>
  <c r="AT18" i="58"/>
  <c r="AZ24" i="58" s="1"/>
  <c r="AZ42" i="58" s="1"/>
  <c r="F5" i="43"/>
  <c r="BC19" i="58"/>
  <c r="BI25" i="58" s="1"/>
  <c r="BI43" i="58" s="1"/>
  <c r="AH17" i="58"/>
  <c r="F16" i="43"/>
  <c r="AS18" i="58"/>
  <c r="AY24" i="58" s="1"/>
  <c r="AY42" i="58" s="1"/>
  <c r="D4" i="39"/>
  <c r="D19" i="43"/>
  <c r="H7" i="58"/>
  <c r="H8" i="58" s="1"/>
  <c r="AS17" i="58"/>
  <c r="AY23" i="58" s="1"/>
  <c r="AY41" i="58" s="1"/>
  <c r="E15" i="43"/>
  <c r="E14" i="43" s="1"/>
  <c r="E19" i="43" s="1"/>
  <c r="V16" i="58"/>
  <c r="V20" i="58" s="1"/>
  <c r="AS19" i="58"/>
  <c r="AY25" i="58" s="1"/>
  <c r="AY43" i="58" s="1"/>
  <c r="AK26" i="58"/>
  <c r="AJ22" i="58"/>
  <c r="AJ40" i="58" s="1"/>
  <c r="BU19" i="58"/>
  <c r="CA25" i="58" s="1"/>
  <c r="CA43" i="58" s="1"/>
  <c r="BA17" i="58"/>
  <c r="BG23" i="58" s="1"/>
  <c r="BG19" i="58"/>
  <c r="BM25" i="58" s="1"/>
  <c r="BM43" i="58" s="1"/>
  <c r="AL22" i="58"/>
  <c r="AL40" i="58" s="1"/>
  <c r="BK17" i="58"/>
  <c r="BQ23" i="58" s="1"/>
  <c r="BQ41" i="58" s="1"/>
  <c r="AF26" i="58"/>
  <c r="BP17" i="58"/>
  <c r="BV23" i="58" s="1"/>
  <c r="BV41" i="58" s="1"/>
  <c r="AH26" i="58"/>
  <c r="AK16" i="58"/>
  <c r="AK20" i="58" s="1"/>
  <c r="AX18" i="58"/>
  <c r="BD24" i="58" s="1"/>
  <c r="BD42" i="58" s="1"/>
  <c r="BH18" i="58"/>
  <c r="BN24" i="58" s="1"/>
  <c r="BN42" i="58" s="1"/>
  <c r="AU18" i="58"/>
  <c r="BL17" i="58"/>
  <c r="BR23" i="58" s="1"/>
  <c r="BR41" i="58" s="1"/>
  <c r="BI18" i="58"/>
  <c r="BO24" i="58" s="1"/>
  <c r="BO42" i="58" s="1"/>
  <c r="BI17" i="58"/>
  <c r="BO23" i="58" s="1"/>
  <c r="BO41" i="58" s="1"/>
  <c r="BK18" i="58"/>
  <c r="BQ24" i="58" s="1"/>
  <c r="BQ42" i="58" s="1"/>
  <c r="BH17" i="58"/>
  <c r="BN23" i="58" s="1"/>
  <c r="BN41" i="58" s="1"/>
  <c r="AG26" i="58"/>
  <c r="AJ16" i="58"/>
  <c r="AJ20" i="58" s="1"/>
  <c r="I3" i="58"/>
  <c r="I28" i="58" s="1"/>
  <c r="I32" i="58" s="1"/>
  <c r="I33" i="58" s="1"/>
  <c r="CF19" i="58"/>
  <c r="CL25" i="58" s="1"/>
  <c r="CL43" i="58" s="1"/>
  <c r="C122" i="60"/>
  <c r="D123" i="60"/>
  <c r="L122" i="60"/>
  <c r="J123" i="60"/>
  <c r="M123" i="60"/>
  <c r="L124" i="60"/>
  <c r="M117" i="60"/>
  <c r="L123" i="60"/>
  <c r="C124" i="60"/>
  <c r="I124" i="60"/>
  <c r="K122" i="60"/>
  <c r="P16" i="38"/>
  <c r="P17" i="38" s="1"/>
  <c r="Q3" i="38"/>
  <c r="P2" i="39"/>
  <c r="G122" i="60"/>
  <c r="M122" i="60"/>
  <c r="G124" i="60"/>
  <c r="F123" i="60"/>
  <c r="B124" i="60"/>
  <c r="B123" i="60"/>
  <c r="D121" i="60"/>
  <c r="I121" i="60"/>
  <c r="G121" i="60"/>
  <c r="J121" i="60"/>
  <c r="F121" i="60"/>
  <c r="K114" i="60"/>
  <c r="M121" i="60"/>
  <c r="E121" i="60"/>
  <c r="C121" i="60"/>
  <c r="L121" i="60"/>
  <c r="B121" i="60"/>
  <c r="P25" i="43"/>
  <c r="P26" i="43" s="1"/>
  <c r="P31" i="54"/>
  <c r="O32" i="54"/>
  <c r="R30" i="54"/>
  <c r="R33" i="54" s="1"/>
  <c r="R34" i="43"/>
  <c r="T34" i="43" s="1"/>
  <c r="FM11" i="58" l="1"/>
  <c r="FM36" i="58" s="1"/>
  <c r="FA36" i="58"/>
  <c r="AA26" i="58"/>
  <c r="FM13" i="58"/>
  <c r="FM38" i="58" s="1"/>
  <c r="FA38" i="58"/>
  <c r="FM12" i="58"/>
  <c r="FM37" i="58" s="1"/>
  <c r="FA37" i="58"/>
  <c r="BG41" i="58"/>
  <c r="L29" i="58"/>
  <c r="M4" i="58" s="1"/>
  <c r="M29" i="58" s="1"/>
  <c r="N4" i="58" s="1"/>
  <c r="N30" i="58"/>
  <c r="O5" i="58" s="1"/>
  <c r="D21" i="43"/>
  <c r="D27" i="43" s="1"/>
  <c r="D29" i="43" s="1"/>
  <c r="O31" i="58"/>
  <c r="P6" i="58" s="1"/>
  <c r="D8" i="43"/>
  <c r="D5" i="62" s="1"/>
  <c r="D46" i="43"/>
  <c r="D47" i="43" s="1"/>
  <c r="D42" i="43"/>
  <c r="AB22" i="58"/>
  <c r="AB40" i="58" s="1"/>
  <c r="S26" i="58"/>
  <c r="D5" i="39"/>
  <c r="AR18" i="58"/>
  <c r="G17" i="43"/>
  <c r="E4" i="43"/>
  <c r="E3" i="43" s="1"/>
  <c r="E46" i="43" s="1"/>
  <c r="E47" i="43" s="1"/>
  <c r="AL16" i="58"/>
  <c r="AL20" i="58" s="1"/>
  <c r="E4" i="39"/>
  <c r="AT19" i="58"/>
  <c r="AZ25" i="58" s="1"/>
  <c r="AZ43" i="58" s="1"/>
  <c r="G18" i="43"/>
  <c r="AB26" i="58"/>
  <c r="AG16" i="58"/>
  <c r="G7" i="43"/>
  <c r="AN23" i="58"/>
  <c r="AN41" i="58" s="1"/>
  <c r="AJ26" i="58"/>
  <c r="BN19" i="58"/>
  <c r="BT25" i="58" s="1"/>
  <c r="BT43" i="58" s="1"/>
  <c r="BM17" i="58"/>
  <c r="BS23" i="58" s="1"/>
  <c r="BS41" i="58" s="1"/>
  <c r="BJ19" i="58"/>
  <c r="BP25" i="58" s="1"/>
  <c r="BP43" i="58" s="1"/>
  <c r="BO17" i="58"/>
  <c r="BU23" i="58" s="1"/>
  <c r="BU41" i="58" s="1"/>
  <c r="AQ16" i="58"/>
  <c r="AQ20" i="58" s="1"/>
  <c r="AI16" i="58"/>
  <c r="AI20" i="58" s="1"/>
  <c r="BL18" i="58"/>
  <c r="BR24" i="58" s="1"/>
  <c r="BR42" i="58" s="1"/>
  <c r="BD19" i="58"/>
  <c r="BJ25" i="58" s="1"/>
  <c r="BJ43" i="58" s="1"/>
  <c r="BN17" i="58"/>
  <c r="BT23" i="58" s="1"/>
  <c r="BT41" i="58" s="1"/>
  <c r="BO18" i="58"/>
  <c r="BU24" i="58" s="1"/>
  <c r="BU42" i="58" s="1"/>
  <c r="BN18" i="58"/>
  <c r="BT24" i="58" s="1"/>
  <c r="BT42" i="58" s="1"/>
  <c r="AL26" i="58"/>
  <c r="BA18" i="58"/>
  <c r="BG24" i="58" s="1"/>
  <c r="BG42" i="58" s="1"/>
  <c r="BA24" i="58"/>
  <c r="BA42" i="58" s="1"/>
  <c r="BX19" i="58"/>
  <c r="CD25" i="58" s="1"/>
  <c r="CD43" i="58" s="1"/>
  <c r="AN16" i="58"/>
  <c r="AN20" i="58" s="1"/>
  <c r="AQ22" i="58"/>
  <c r="AQ40" i="58" s="1"/>
  <c r="I7" i="58"/>
  <c r="I8" i="58" s="1"/>
  <c r="AP22" i="58"/>
  <c r="AP40" i="58" s="1"/>
  <c r="AM16" i="58"/>
  <c r="AM20" i="58" s="1"/>
  <c r="CI19" i="58"/>
  <c r="CO25" i="58" s="1"/>
  <c r="CO43" i="58" s="1"/>
  <c r="CG19" i="58"/>
  <c r="CM25" i="58" s="1"/>
  <c r="CM43" i="58" s="1"/>
  <c r="M124" i="60"/>
  <c r="Q16" i="38"/>
  <c r="Q17" i="38" s="1"/>
  <c r="Q2" i="39"/>
  <c r="K121" i="60"/>
  <c r="Q25" i="43"/>
  <c r="Q26" i="43" s="1"/>
  <c r="R26" i="43" s="1"/>
  <c r="Q31" i="54"/>
  <c r="P32" i="54"/>
  <c r="S30" i="54"/>
  <c r="S33" i="54" s="1"/>
  <c r="AR22" i="58" l="1"/>
  <c r="AR40" i="58" s="1"/>
  <c r="O30" i="58"/>
  <c r="P5" i="58" s="1"/>
  <c r="P31" i="58"/>
  <c r="Q6" i="58" s="1"/>
  <c r="D41" i="43"/>
  <c r="N29" i="58"/>
  <c r="O4" i="58" s="1"/>
  <c r="F15" i="43"/>
  <c r="F14" i="43" s="1"/>
  <c r="F19" i="43" s="1"/>
  <c r="AX24" i="58"/>
  <c r="AX42" i="58" s="1"/>
  <c r="E8" i="43"/>
  <c r="E5" i="62" s="1"/>
  <c r="E42" i="43"/>
  <c r="E21" i="43"/>
  <c r="E27" i="43" s="1"/>
  <c r="E29" i="43" s="1"/>
  <c r="E3" i="39"/>
  <c r="E5" i="39" s="1"/>
  <c r="AG20" i="58"/>
  <c r="AM22" i="58"/>
  <c r="AM40" i="58" s="1"/>
  <c r="BE19" i="58"/>
  <c r="BK25" i="58" s="1"/>
  <c r="BK43" i="58" s="1"/>
  <c r="BO19" i="58"/>
  <c r="BU25" i="58" s="1"/>
  <c r="BU43" i="58" s="1"/>
  <c r="AH16" i="58"/>
  <c r="AH20" i="58" s="1"/>
  <c r="G5" i="43"/>
  <c r="D3" i="62"/>
  <c r="D7" i="62" s="1"/>
  <c r="D8" i="62" s="1"/>
  <c r="D30" i="43" s="1"/>
  <c r="D31" i="43" s="1"/>
  <c r="BF18" i="58"/>
  <c r="BL24" i="58" s="1"/>
  <c r="BL42" i="58" s="1"/>
  <c r="BE17" i="58"/>
  <c r="BK23" i="58" s="1"/>
  <c r="BK41" i="58" s="1"/>
  <c r="BE18" i="58"/>
  <c r="BK24" i="58" s="1"/>
  <c r="BK42" i="58" s="1"/>
  <c r="AP16" i="58"/>
  <c r="AP20" i="58" s="1"/>
  <c r="BP19" i="58"/>
  <c r="BV25" i="58" s="1"/>
  <c r="BV43" i="58" s="1"/>
  <c r="AO16" i="58"/>
  <c r="AO20" i="58" s="1"/>
  <c r="BJ17" i="58"/>
  <c r="BP23" i="58" s="1"/>
  <c r="AR26" i="58"/>
  <c r="BY17" i="58"/>
  <c r="CE23" i="58" s="1"/>
  <c r="CE41" i="58" s="1"/>
  <c r="AQ26" i="58"/>
  <c r="BW18" i="58"/>
  <c r="CC24" i="58" s="1"/>
  <c r="CC42" i="58" s="1"/>
  <c r="BW17" i="58"/>
  <c r="CC23" i="58" s="1"/>
  <c r="CC41" i="58" s="1"/>
  <c r="AW22" i="58"/>
  <c r="AW40" i="58" s="1"/>
  <c r="AO22" i="58"/>
  <c r="AO40" i="58" s="1"/>
  <c r="BS19" i="58"/>
  <c r="BY25" i="58" s="1"/>
  <c r="BY43" i="58" s="1"/>
  <c r="BX17" i="58"/>
  <c r="CD23" i="58" s="1"/>
  <c r="CD41" i="58" s="1"/>
  <c r="BX18" i="58"/>
  <c r="CD24" i="58" s="1"/>
  <c r="CD42" i="58" s="1"/>
  <c r="BU18" i="58"/>
  <c r="CA24" i="58" s="1"/>
  <c r="CA42" i="58" s="1"/>
  <c r="BT18" i="58"/>
  <c r="BZ24" i="58" s="1"/>
  <c r="BZ42" i="58" s="1"/>
  <c r="BU17" i="58"/>
  <c r="CA23" i="58" s="1"/>
  <c r="CA41" i="58" s="1"/>
  <c r="BT17" i="58"/>
  <c r="BZ23" i="58" s="1"/>
  <c r="BZ41" i="58" s="1"/>
  <c r="BG18" i="58"/>
  <c r="AT22" i="58"/>
  <c r="AT40" i="58" s="1"/>
  <c r="AS22" i="58"/>
  <c r="AS40" i="58" s="1"/>
  <c r="AP26" i="58"/>
  <c r="AW16" i="58"/>
  <c r="AW20" i="58" s="1"/>
  <c r="J3" i="58"/>
  <c r="J28" i="58" s="1"/>
  <c r="J32" i="58" s="1"/>
  <c r="J33" i="58" s="1"/>
  <c r="CR19" i="58"/>
  <c r="CX25" i="58" s="1"/>
  <c r="CX43" i="58" s="1"/>
  <c r="T26" i="43"/>
  <c r="R25" i="43"/>
  <c r="T25" i="43" s="1"/>
  <c r="R31" i="54"/>
  <c r="Q32" i="54"/>
  <c r="T30" i="54"/>
  <c r="T33" i="54" s="1"/>
  <c r="BV17" i="58" l="1"/>
  <c r="CB23" i="58" s="1"/>
  <c r="CB41" i="58" s="1"/>
  <c r="BP41" i="58"/>
  <c r="P30" i="58"/>
  <c r="Q5" i="58" s="1"/>
  <c r="O29" i="58"/>
  <c r="P4" i="58" s="1"/>
  <c r="Q31" i="58"/>
  <c r="R6" i="58" s="1"/>
  <c r="E3" i="62"/>
  <c r="E7" i="62" s="1"/>
  <c r="E8" i="62" s="1"/>
  <c r="E30" i="43" s="1"/>
  <c r="E31" i="43" s="1"/>
  <c r="E48" i="43" s="1"/>
  <c r="E49" i="43" s="1"/>
  <c r="E41" i="43"/>
  <c r="G6" i="43"/>
  <c r="F4" i="43"/>
  <c r="F3" i="43" s="1"/>
  <c r="AM26" i="58"/>
  <c r="D32" i="43"/>
  <c r="D35" i="43" s="1"/>
  <c r="D6" i="39"/>
  <c r="D48" i="43"/>
  <c r="D49" i="43" s="1"/>
  <c r="G16" i="43"/>
  <c r="AT17" i="58"/>
  <c r="AV22" i="58"/>
  <c r="AV40" i="58" s="1"/>
  <c r="AN22" i="58"/>
  <c r="AN40" i="58" s="1"/>
  <c r="H7" i="43"/>
  <c r="BF19" i="58"/>
  <c r="BL25" i="58" s="1"/>
  <c r="BL43" i="58" s="1"/>
  <c r="H18" i="43"/>
  <c r="BZ19" i="58"/>
  <c r="CF25" i="58" s="1"/>
  <c r="CF43" i="58" s="1"/>
  <c r="F4" i="39"/>
  <c r="AU22" i="58"/>
  <c r="AU40" i="58" s="1"/>
  <c r="CB19" i="58"/>
  <c r="CH25" i="58" s="1"/>
  <c r="CH43" i="58" s="1"/>
  <c r="AO26" i="58"/>
  <c r="AW26" i="58"/>
  <c r="AU16" i="58"/>
  <c r="AU20" i="58" s="1"/>
  <c r="BJ18" i="58"/>
  <c r="BP24" i="58" s="1"/>
  <c r="BP42" i="58" s="1"/>
  <c r="CA18" i="58"/>
  <c r="CG24" i="58" s="1"/>
  <c r="CG42" i="58" s="1"/>
  <c r="CA17" i="58"/>
  <c r="CG23" i="58" s="1"/>
  <c r="CG41" i="58" s="1"/>
  <c r="BZ17" i="58"/>
  <c r="CF23" i="58" s="1"/>
  <c r="CF41" i="58" s="1"/>
  <c r="BZ18" i="58"/>
  <c r="CF24" i="58" s="1"/>
  <c r="CF42" i="58" s="1"/>
  <c r="BM19" i="58"/>
  <c r="BS25" i="58" s="1"/>
  <c r="BM24" i="58"/>
  <c r="BM42" i="58" s="1"/>
  <c r="AX16" i="58"/>
  <c r="AX20" i="58" s="1"/>
  <c r="CJ19" i="58"/>
  <c r="CP25" i="58" s="1"/>
  <c r="CP43" i="58" s="1"/>
  <c r="AT26" i="58"/>
  <c r="AY16" i="58"/>
  <c r="AY20" i="58" s="1"/>
  <c r="AS26" i="58"/>
  <c r="J7" i="58"/>
  <c r="J8" i="58" s="1"/>
  <c r="AV16" i="58"/>
  <c r="AV20" i="58" s="1"/>
  <c r="BC22" i="58"/>
  <c r="BC40" i="58" s="1"/>
  <c r="CS19" i="58"/>
  <c r="CY25" i="58" s="1"/>
  <c r="CY43" i="58" s="1"/>
  <c r="CU19" i="58"/>
  <c r="DA25" i="58" s="1"/>
  <c r="DA43" i="58" s="1"/>
  <c r="U30" i="54"/>
  <c r="U33" i="54" s="1"/>
  <c r="S31" i="54"/>
  <c r="R32" i="54"/>
  <c r="BY19" i="58" l="1"/>
  <c r="CE25" i="58" s="1"/>
  <c r="CE43" i="58" s="1"/>
  <c r="BS43" i="58"/>
  <c r="R31" i="58"/>
  <c r="S6" i="58" s="1"/>
  <c r="Q30" i="58"/>
  <c r="R5" i="58" s="1"/>
  <c r="P29" i="58"/>
  <c r="Q4" i="58" s="1"/>
  <c r="AV26" i="58"/>
  <c r="H17" i="43"/>
  <c r="BD18" i="58"/>
  <c r="E32" i="43"/>
  <c r="E35" i="43" s="1"/>
  <c r="E36" i="43" s="1"/>
  <c r="E37" i="43" s="1"/>
  <c r="E6" i="39"/>
  <c r="F8" i="43"/>
  <c r="F5" i="62" s="1"/>
  <c r="F42" i="43"/>
  <c r="F3" i="39"/>
  <c r="F5" i="39" s="1"/>
  <c r="F46" i="43"/>
  <c r="F47" i="43" s="1"/>
  <c r="F21" i="43"/>
  <c r="F41" i="43" s="1"/>
  <c r="BR18" i="58"/>
  <c r="BX24" i="58" s="1"/>
  <c r="BX42" i="58" s="1"/>
  <c r="CA19" i="58"/>
  <c r="CG25" i="58" s="1"/>
  <c r="CG43" i="58" s="1"/>
  <c r="AS16" i="58"/>
  <c r="BQ17" i="58"/>
  <c r="BW23" i="58" s="1"/>
  <c r="BW41" i="58" s="1"/>
  <c r="BQ18" i="58"/>
  <c r="BW24" i="58" s="1"/>
  <c r="BW42" i="58" s="1"/>
  <c r="AZ23" i="58"/>
  <c r="AZ41" i="58" s="1"/>
  <c r="D36" i="43"/>
  <c r="D37" i="43" s="1"/>
  <c r="D8" i="39"/>
  <c r="BQ19" i="58"/>
  <c r="BW25" i="58" s="1"/>
  <c r="BW43" i="58" s="1"/>
  <c r="AN26" i="58"/>
  <c r="AU26" i="58"/>
  <c r="BD22" i="58"/>
  <c r="BA22" i="58"/>
  <c r="BA40" i="58" s="1"/>
  <c r="BS17" i="58"/>
  <c r="BY23" i="58" s="1"/>
  <c r="BY41" i="58" s="1"/>
  <c r="BB16" i="58"/>
  <c r="BB20" i="58" s="1"/>
  <c r="AR16" i="58"/>
  <c r="AR20" i="58" s="1"/>
  <c r="BM18" i="58"/>
  <c r="BS24" i="58" s="1"/>
  <c r="BS42" i="58" s="1"/>
  <c r="CF18" i="58"/>
  <c r="CL24" i="58" s="1"/>
  <c r="CL42" i="58" s="1"/>
  <c r="CG17" i="58"/>
  <c r="CM23" i="58" s="1"/>
  <c r="CM41" i="58" s="1"/>
  <c r="CG18" i="58"/>
  <c r="CM24" i="58" s="1"/>
  <c r="CM42" i="58" s="1"/>
  <c r="CJ18" i="58"/>
  <c r="CP24" i="58" s="1"/>
  <c r="CP42" i="58" s="1"/>
  <c r="CI18" i="58"/>
  <c r="CO24" i="58" s="1"/>
  <c r="CO42" i="58" s="1"/>
  <c r="CI17" i="58"/>
  <c r="CO23" i="58" s="1"/>
  <c r="CO41" i="58" s="1"/>
  <c r="CF17" i="58"/>
  <c r="CL23" i="58" s="1"/>
  <c r="CL41" i="58" s="1"/>
  <c r="CJ17" i="58"/>
  <c r="CP23" i="58" s="1"/>
  <c r="CP41" i="58" s="1"/>
  <c r="CH17" i="58"/>
  <c r="CN23" i="58" s="1"/>
  <c r="CN41" i="58" s="1"/>
  <c r="AZ16" i="58"/>
  <c r="BB22" i="58"/>
  <c r="BB40" i="58" s="1"/>
  <c r="BE22" i="58"/>
  <c r="BE40" i="58" s="1"/>
  <c r="K3" i="58"/>
  <c r="K28" i="58" s="1"/>
  <c r="K32" i="58" s="1"/>
  <c r="K33" i="58" s="1"/>
  <c r="BC26" i="58"/>
  <c r="DD19" i="58"/>
  <c r="DJ25" i="58" s="1"/>
  <c r="DJ43" i="58" s="1"/>
  <c r="T31" i="54"/>
  <c r="S32" i="54"/>
  <c r="V30" i="54"/>
  <c r="V33" i="54" s="1"/>
  <c r="BD26" i="58" l="1"/>
  <c r="BD40" i="58"/>
  <c r="S31" i="58"/>
  <c r="T6" i="58" s="1"/>
  <c r="Q29" i="58"/>
  <c r="R4" i="58" s="1"/>
  <c r="R30" i="58"/>
  <c r="S5" i="58" s="1"/>
  <c r="E8" i="39"/>
  <c r="BJ24" i="58"/>
  <c r="BJ42" i="58" s="1"/>
  <c r="F27" i="43"/>
  <c r="F29" i="43" s="1"/>
  <c r="D5" i="38"/>
  <c r="D7" i="38" s="1"/>
  <c r="D21" i="38" s="1"/>
  <c r="D22" i="38" s="1"/>
  <c r="E20" i="38" s="1"/>
  <c r="D45" i="43"/>
  <c r="D10" i="39"/>
  <c r="D13" i="39" s="1"/>
  <c r="D38" i="43"/>
  <c r="E38" i="43" s="1"/>
  <c r="AS20" i="58"/>
  <c r="AY22" i="58"/>
  <c r="AY40" i="58" s="1"/>
  <c r="D9" i="39"/>
  <c r="D43" i="43"/>
  <c r="D44" i="43" s="1"/>
  <c r="BR19" i="58"/>
  <c r="BX25" i="58" s="1"/>
  <c r="BX43" i="58" s="1"/>
  <c r="G15" i="43"/>
  <c r="G14" i="43" s="1"/>
  <c r="G19" i="43" s="1"/>
  <c r="AT16" i="58"/>
  <c r="I7" i="43"/>
  <c r="H5" i="43"/>
  <c r="BG16" i="58"/>
  <c r="BG20" i="58" s="1"/>
  <c r="CL19" i="58"/>
  <c r="CR25" i="58" s="1"/>
  <c r="CR43" i="58" s="1"/>
  <c r="BH22" i="58"/>
  <c r="BH40" i="58" s="1"/>
  <c r="CE17" i="58"/>
  <c r="CK23" i="58" s="1"/>
  <c r="AX22" i="58"/>
  <c r="AX40" i="58" s="1"/>
  <c r="CM18" i="58"/>
  <c r="CS24" i="58" s="1"/>
  <c r="CS42" i="58" s="1"/>
  <c r="CL18" i="58"/>
  <c r="CR24" i="58" s="1"/>
  <c r="CR42" i="58" s="1"/>
  <c r="BA26" i="58"/>
  <c r="BE26" i="58"/>
  <c r="CM17" i="58"/>
  <c r="CS23" i="58" s="1"/>
  <c r="CS41" i="58" s="1"/>
  <c r="BV19" i="58"/>
  <c r="CB25" i="58" s="1"/>
  <c r="CK19" i="58"/>
  <c r="CQ25" i="58" s="1"/>
  <c r="CQ43" i="58" s="1"/>
  <c r="CL17" i="58"/>
  <c r="CR23" i="58" s="1"/>
  <c r="CR41" i="58" s="1"/>
  <c r="BS18" i="58"/>
  <c r="BB26" i="58"/>
  <c r="AZ20" i="58"/>
  <c r="BF22" i="58"/>
  <c r="BF40" i="58" s="1"/>
  <c r="CV19" i="58"/>
  <c r="DB25" i="58" s="1"/>
  <c r="DB43" i="58" s="1"/>
  <c r="E45" i="43"/>
  <c r="E5" i="38"/>
  <c r="E7" i="38" s="1"/>
  <c r="E21" i="38" s="1"/>
  <c r="E10" i="39"/>
  <c r="E13" i="39" s="1"/>
  <c r="K7" i="58"/>
  <c r="K8" i="58" s="1"/>
  <c r="BK16" i="58"/>
  <c r="BK20" i="58" s="1"/>
  <c r="BH16" i="58"/>
  <c r="BH20" i="58" s="1"/>
  <c r="BI16" i="58"/>
  <c r="BI20" i="58" s="1"/>
  <c r="E9" i="39"/>
  <c r="E43" i="43"/>
  <c r="E44" i="43" s="1"/>
  <c r="DG19" i="58"/>
  <c r="DM25" i="58" s="1"/>
  <c r="DM43" i="58" s="1"/>
  <c r="DE19" i="58"/>
  <c r="DK25" i="58" s="1"/>
  <c r="DK43" i="58" s="1"/>
  <c r="U31" i="54"/>
  <c r="T32" i="54"/>
  <c r="BM22" i="58" l="1"/>
  <c r="BM40" i="58" s="1"/>
  <c r="CK41" i="58"/>
  <c r="CB43" i="58"/>
  <c r="S30" i="58"/>
  <c r="T5" i="58" s="1"/>
  <c r="T30" i="58" s="1"/>
  <c r="U5" i="58" s="1"/>
  <c r="T31" i="58"/>
  <c r="U6" i="58" s="1"/>
  <c r="R29" i="58"/>
  <c r="S4" i="58" s="1"/>
  <c r="F3" i="62"/>
  <c r="F7" i="62" s="1"/>
  <c r="F8" i="62" s="1"/>
  <c r="F30" i="43" s="1"/>
  <c r="F31" i="43" s="1"/>
  <c r="F6" i="39" s="1"/>
  <c r="E22" i="38"/>
  <c r="F20" i="38" s="1"/>
  <c r="H6" i="43"/>
  <c r="CC19" i="58"/>
  <c r="CI25" i="58" s="1"/>
  <c r="CI43" i="58" s="1"/>
  <c r="AT20" i="58"/>
  <c r="AZ22" i="58"/>
  <c r="AZ40" i="58" s="1"/>
  <c r="BF17" i="58"/>
  <c r="H16" i="43"/>
  <c r="CM19" i="58"/>
  <c r="CS25" i="58" s="1"/>
  <c r="CS43" i="58" s="1"/>
  <c r="AY26" i="58"/>
  <c r="D18" i="39"/>
  <c r="D16" i="39"/>
  <c r="E16" i="39" s="1"/>
  <c r="D15" i="39"/>
  <c r="I18" i="43"/>
  <c r="CC18" i="58"/>
  <c r="CI24" i="58" s="1"/>
  <c r="CI42" i="58" s="1"/>
  <c r="CD18" i="58"/>
  <c r="CJ24" i="58" s="1"/>
  <c r="CJ42" i="58" s="1"/>
  <c r="CC17" i="58"/>
  <c r="CI23" i="58" s="1"/>
  <c r="CI41" i="58" s="1"/>
  <c r="G4" i="39"/>
  <c r="CH19" i="58"/>
  <c r="CN25" i="58" s="1"/>
  <c r="CN43" i="58" s="1"/>
  <c r="BH26" i="58"/>
  <c r="BE16" i="58"/>
  <c r="BE20" i="58" s="1"/>
  <c r="BD16" i="58"/>
  <c r="BD20" i="58" s="1"/>
  <c r="CU17" i="58"/>
  <c r="DA23" i="58" s="1"/>
  <c r="DA41" i="58" s="1"/>
  <c r="CB17" i="58"/>
  <c r="CH23" i="58" s="1"/>
  <c r="CH41" i="58" s="1"/>
  <c r="BV18" i="58"/>
  <c r="CB24" i="58" s="1"/>
  <c r="CB42" i="58" s="1"/>
  <c r="BY18" i="58"/>
  <c r="CE24" i="58" s="1"/>
  <c r="CE42" i="58" s="1"/>
  <c r="BC16" i="58"/>
  <c r="BC20" i="58" s="1"/>
  <c r="AX26" i="58"/>
  <c r="CU18" i="58"/>
  <c r="DA24" i="58" s="1"/>
  <c r="DA42" i="58" s="1"/>
  <c r="CV18" i="58"/>
  <c r="DB24" i="58" s="1"/>
  <c r="DB42" i="58" s="1"/>
  <c r="CR17" i="58"/>
  <c r="CX23" i="58" s="1"/>
  <c r="CX41" i="58" s="1"/>
  <c r="CS17" i="58"/>
  <c r="CY23" i="58" s="1"/>
  <c r="CY41" i="58" s="1"/>
  <c r="CV17" i="58"/>
  <c r="DB23" i="58" s="1"/>
  <c r="DB41" i="58" s="1"/>
  <c r="CR18" i="58"/>
  <c r="CX24" i="58" s="1"/>
  <c r="CX42" i="58" s="1"/>
  <c r="BY24" i="58"/>
  <c r="BY42" i="58" s="1"/>
  <c r="CS18" i="58"/>
  <c r="CY24" i="58" s="1"/>
  <c r="CY42" i="58" s="1"/>
  <c r="CQ17" i="58"/>
  <c r="BF26" i="58"/>
  <c r="BN22" i="58"/>
  <c r="BN40" i="58" s="1"/>
  <c r="BO22" i="58"/>
  <c r="BO40" i="58" s="1"/>
  <c r="L3" i="58"/>
  <c r="L28" i="58" s="1"/>
  <c r="L32" i="58" s="1"/>
  <c r="L33" i="58" s="1"/>
  <c r="BM26" i="58"/>
  <c r="E15" i="39"/>
  <c r="E18" i="39"/>
  <c r="BQ22" i="58"/>
  <c r="BQ40" i="58" s="1"/>
  <c r="DP19" i="58"/>
  <c r="DV25" i="58" s="1"/>
  <c r="DV43" i="58" s="1"/>
  <c r="V31" i="54"/>
  <c r="V32" i="54" s="1"/>
  <c r="U32" i="54"/>
  <c r="S29" i="58" l="1"/>
  <c r="T4" i="58" s="1"/>
  <c r="U31" i="58"/>
  <c r="V6" i="58" s="1"/>
  <c r="V31" i="58" s="1"/>
  <c r="W6" i="58" s="1"/>
  <c r="U30" i="58"/>
  <c r="V5" i="58" s="1"/>
  <c r="BP18" i="58"/>
  <c r="BV24" i="58" s="1"/>
  <c r="BV42" i="58" s="1"/>
  <c r="I17" i="43"/>
  <c r="G4" i="43"/>
  <c r="G3" i="43" s="1"/>
  <c r="G42" i="43" s="1"/>
  <c r="BL23" i="58"/>
  <c r="BL41" i="58" s="1"/>
  <c r="CD19" i="58"/>
  <c r="CJ25" i="58" s="1"/>
  <c r="CJ43" i="58" s="1"/>
  <c r="AZ26" i="58"/>
  <c r="CX19" i="58"/>
  <c r="DD25" i="58" s="1"/>
  <c r="DD43" i="58" s="1"/>
  <c r="CN17" i="58"/>
  <c r="CT23" i="58" s="1"/>
  <c r="CT41" i="58" s="1"/>
  <c r="CY18" i="58"/>
  <c r="DE24" i="58" s="1"/>
  <c r="DE42" i="58" s="1"/>
  <c r="CE19" i="58"/>
  <c r="BI22" i="58"/>
  <c r="BI40" i="58" s="1"/>
  <c r="CX17" i="58"/>
  <c r="DD23" i="58" s="1"/>
  <c r="DD41" i="58" s="1"/>
  <c r="CX18" i="58"/>
  <c r="DD24" i="58" s="1"/>
  <c r="DD42" i="58" s="1"/>
  <c r="CY17" i="58"/>
  <c r="DE23" i="58" s="1"/>
  <c r="DE41" i="58" s="1"/>
  <c r="BA16" i="58"/>
  <c r="BA20" i="58" s="1"/>
  <c r="CT19" i="58"/>
  <c r="CZ25" i="58" s="1"/>
  <c r="CZ43" i="58" s="1"/>
  <c r="BJ22" i="58"/>
  <c r="BJ40" i="58" s="1"/>
  <c r="BK22" i="58"/>
  <c r="BK40" i="58" s="1"/>
  <c r="BN26" i="58"/>
  <c r="CW23" i="58"/>
  <c r="CW41" i="58" s="1"/>
  <c r="F48" i="43"/>
  <c r="F49" i="43" s="1"/>
  <c r="F32" i="43"/>
  <c r="F35" i="43" s="1"/>
  <c r="F36" i="43" s="1"/>
  <c r="F37" i="43" s="1"/>
  <c r="DH19" i="58"/>
  <c r="DN25" i="58" s="1"/>
  <c r="DN43" i="58" s="1"/>
  <c r="BO26" i="58"/>
  <c r="L7" i="58"/>
  <c r="L8" i="58" s="1"/>
  <c r="BQ26" i="58"/>
  <c r="DS19" i="58"/>
  <c r="DY25" i="58" s="1"/>
  <c r="DY43" i="58" s="1"/>
  <c r="DQ19" i="58"/>
  <c r="DW25" i="58" s="1"/>
  <c r="DW43" i="58" s="1"/>
  <c r="V30" i="58" l="1"/>
  <c r="W5" i="58" s="1"/>
  <c r="T29" i="58"/>
  <c r="U4" i="58" s="1"/>
  <c r="W31" i="58"/>
  <c r="X6" i="58" s="1"/>
  <c r="G21" i="43"/>
  <c r="G41" i="43" s="1"/>
  <c r="I6" i="43"/>
  <c r="G8" i="43"/>
  <c r="G5" i="62" s="1"/>
  <c r="G3" i="39"/>
  <c r="G5" i="39" s="1"/>
  <c r="G46" i="43"/>
  <c r="G47" i="43" s="1"/>
  <c r="CY19" i="58"/>
  <c r="DE25" i="58" s="1"/>
  <c r="DE43" i="58" s="1"/>
  <c r="BF16" i="58"/>
  <c r="BF20" i="58" s="1"/>
  <c r="CO17" i="58"/>
  <c r="CU23" i="58" s="1"/>
  <c r="CU41" i="58" s="1"/>
  <c r="CP18" i="58"/>
  <c r="CV24" i="58" s="1"/>
  <c r="CV42" i="58" s="1"/>
  <c r="CO19" i="58"/>
  <c r="CU25" i="58" s="1"/>
  <c r="CU43" i="58" s="1"/>
  <c r="CO18" i="58"/>
  <c r="CU24" i="58" s="1"/>
  <c r="CU42" i="58" s="1"/>
  <c r="J18" i="43"/>
  <c r="I5" i="43"/>
  <c r="CK25" i="58"/>
  <c r="CQ19" i="58"/>
  <c r="CW25" i="58" s="1"/>
  <c r="CW43" i="58" s="1"/>
  <c r="BP16" i="58"/>
  <c r="BP20" i="58" s="1"/>
  <c r="BO16" i="58"/>
  <c r="BO20" i="58" s="1"/>
  <c r="CZ17" i="58"/>
  <c r="DF23" i="58" s="1"/>
  <c r="DF41" i="58" s="1"/>
  <c r="BG22" i="58"/>
  <c r="BG40" i="58" s="1"/>
  <c r="BK26" i="58"/>
  <c r="BJ26" i="58"/>
  <c r="BQ16" i="58"/>
  <c r="BQ20" i="58" s="1"/>
  <c r="CH18" i="58"/>
  <c r="CN24" i="58" s="1"/>
  <c r="CN42" i="58" s="1"/>
  <c r="BI26" i="58"/>
  <c r="CK17" i="58"/>
  <c r="CQ23" i="58" s="1"/>
  <c r="CQ41" i="58" s="1"/>
  <c r="DG17" i="58"/>
  <c r="DM23" i="58" s="1"/>
  <c r="DM41" i="58" s="1"/>
  <c r="DD18" i="58"/>
  <c r="DJ24" i="58" s="1"/>
  <c r="DJ42" i="58" s="1"/>
  <c r="DD17" i="58"/>
  <c r="DJ23" i="58" s="1"/>
  <c r="DJ41" i="58" s="1"/>
  <c r="BT16" i="58"/>
  <c r="BT20" i="58" s="1"/>
  <c r="DE17" i="58"/>
  <c r="DK23" i="58" s="1"/>
  <c r="DK41" i="58" s="1"/>
  <c r="DG18" i="58"/>
  <c r="DM24" i="58" s="1"/>
  <c r="DM42" i="58" s="1"/>
  <c r="DH17" i="58"/>
  <c r="DN23" i="58" s="1"/>
  <c r="DN41" i="58" s="1"/>
  <c r="DE18" i="58"/>
  <c r="DK24" i="58" s="1"/>
  <c r="DK42" i="58" s="1"/>
  <c r="CE18" i="58"/>
  <c r="DH18" i="58"/>
  <c r="DN24" i="58" s="1"/>
  <c r="DN42" i="58" s="1"/>
  <c r="F8" i="39"/>
  <c r="F10" i="39"/>
  <c r="F13" i="39" s="1"/>
  <c r="F38" i="43"/>
  <c r="F5" i="38"/>
  <c r="F7" i="38" s="1"/>
  <c r="F21" i="38" s="1"/>
  <c r="F22" i="38" s="1"/>
  <c r="G20" i="38" s="1"/>
  <c r="F45" i="43"/>
  <c r="M3" i="58"/>
  <c r="M28" i="58" s="1"/>
  <c r="M32" i="58" s="1"/>
  <c r="M33" i="58" s="1"/>
  <c r="F9" i="39"/>
  <c r="F43" i="43"/>
  <c r="F44" i="43" s="1"/>
  <c r="EB19" i="58"/>
  <c r="EH25" i="58" s="1"/>
  <c r="EH43" i="58" s="1"/>
  <c r="CK43" i="58" l="1"/>
  <c r="U29" i="58"/>
  <c r="V4" i="58" s="1"/>
  <c r="V29" i="58" s="1"/>
  <c r="W4" i="58" s="1"/>
  <c r="X31" i="58"/>
  <c r="Y6" i="58" s="1"/>
  <c r="W30" i="58"/>
  <c r="X5" i="58" s="1"/>
  <c r="G27" i="43"/>
  <c r="G29" i="43" s="1"/>
  <c r="J7" i="43"/>
  <c r="J17" i="43"/>
  <c r="CB18" i="58"/>
  <c r="BL22" i="58"/>
  <c r="I16" i="43"/>
  <c r="BR17" i="58"/>
  <c r="CP19" i="58"/>
  <c r="CV25" i="58" s="1"/>
  <c r="CV43" i="58" s="1"/>
  <c r="DJ19" i="58"/>
  <c r="DP25" i="58" s="1"/>
  <c r="DP43" i="58" s="1"/>
  <c r="BV22" i="58"/>
  <c r="BV40" i="58" s="1"/>
  <c r="H4" i="43"/>
  <c r="H3" i="43" s="1"/>
  <c r="H8" i="43" s="1"/>
  <c r="H5" i="62" s="1"/>
  <c r="CW17" i="58"/>
  <c r="DC23" i="58" s="1"/>
  <c r="DC41" i="58" s="1"/>
  <c r="BG26" i="58"/>
  <c r="BU22" i="58"/>
  <c r="BU40" i="58" s="1"/>
  <c r="DK17" i="58"/>
  <c r="DQ23" i="58" s="1"/>
  <c r="DQ41" i="58" s="1"/>
  <c r="DJ18" i="58"/>
  <c r="DP24" i="58" s="1"/>
  <c r="DP42" i="58" s="1"/>
  <c r="CK18" i="58"/>
  <c r="CQ24" i="58" s="1"/>
  <c r="CQ42" i="58" s="1"/>
  <c r="BJ16" i="58"/>
  <c r="BJ20" i="58" s="1"/>
  <c r="CN19" i="58"/>
  <c r="CT25" i="58" s="1"/>
  <c r="CT43" i="58" s="1"/>
  <c r="DK18" i="58"/>
  <c r="DQ24" i="58" s="1"/>
  <c r="DQ42" i="58" s="1"/>
  <c r="BM16" i="58"/>
  <c r="BM20" i="58" s="1"/>
  <c r="BN16" i="58"/>
  <c r="BN20" i="58" s="1"/>
  <c r="DJ17" i="58"/>
  <c r="DP23" i="58" s="1"/>
  <c r="DP41" i="58" s="1"/>
  <c r="BL16" i="58"/>
  <c r="BW22" i="58"/>
  <c r="BW40" i="58" s="1"/>
  <c r="BZ22" i="58"/>
  <c r="BZ40" i="58" s="1"/>
  <c r="CK24" i="58"/>
  <c r="CK42" i="58" s="1"/>
  <c r="DT19" i="58"/>
  <c r="DZ25" i="58" s="1"/>
  <c r="DZ43" i="58" s="1"/>
  <c r="M7" i="58"/>
  <c r="M8" i="58" s="1"/>
  <c r="F16" i="39"/>
  <c r="F18" i="39"/>
  <c r="F15" i="39"/>
  <c r="DC19" i="58"/>
  <c r="EE19" i="58"/>
  <c r="EK25" i="58" s="1"/>
  <c r="EK43" i="58" s="1"/>
  <c r="BL26" i="58" l="1"/>
  <c r="BL40" i="58"/>
  <c r="G3" i="62"/>
  <c r="G7" i="62" s="1"/>
  <c r="G8" i="62" s="1"/>
  <c r="G30" i="43" s="1"/>
  <c r="G31" i="43" s="1"/>
  <c r="G6" i="39" s="1"/>
  <c r="X30" i="58"/>
  <c r="Y5" i="58" s="1"/>
  <c r="W29" i="58"/>
  <c r="X4" i="58" s="1"/>
  <c r="Y31" i="58"/>
  <c r="Z6" i="58" s="1"/>
  <c r="CH24" i="58"/>
  <c r="CH42" i="58" s="1"/>
  <c r="DA17" i="58"/>
  <c r="DG23" i="58" s="1"/>
  <c r="DG41" i="58" s="1"/>
  <c r="DA18" i="58"/>
  <c r="DG24" i="58" s="1"/>
  <c r="DG42" i="58" s="1"/>
  <c r="DB18" i="58"/>
  <c r="DH24" i="58" s="1"/>
  <c r="DH42" i="58" s="1"/>
  <c r="DA19" i="58"/>
  <c r="DG25" i="58" s="1"/>
  <c r="DG43" i="58" s="1"/>
  <c r="BX23" i="58"/>
  <c r="BX41" i="58" s="1"/>
  <c r="DK19" i="58"/>
  <c r="DQ25" i="58" s="1"/>
  <c r="DQ43" i="58" s="1"/>
  <c r="K18" i="43"/>
  <c r="BR16" i="58"/>
  <c r="BR20" i="58" s="1"/>
  <c r="H15" i="43"/>
  <c r="H14" i="43" s="1"/>
  <c r="H21" i="43" s="1"/>
  <c r="BP22" i="58"/>
  <c r="BP40" i="58" s="1"/>
  <c r="BV26" i="58"/>
  <c r="DI17" i="58"/>
  <c r="DO23" i="58" s="1"/>
  <c r="DO41" i="58" s="1"/>
  <c r="BU26" i="58"/>
  <c r="H3" i="39"/>
  <c r="CZ19" i="58"/>
  <c r="DF25" i="58" s="1"/>
  <c r="DF43" i="58" s="1"/>
  <c r="EC19" i="58"/>
  <c r="EI25" i="58" s="1"/>
  <c r="EI43" i="58" s="1"/>
  <c r="BS22" i="58"/>
  <c r="BS40" i="58" s="1"/>
  <c r="K7" i="43"/>
  <c r="BL20" i="58"/>
  <c r="BR22" i="58"/>
  <c r="BR40" i="58" s="1"/>
  <c r="DT18" i="58"/>
  <c r="DZ24" i="58" s="1"/>
  <c r="DZ42" i="58" s="1"/>
  <c r="CT17" i="58"/>
  <c r="CZ23" i="58" s="1"/>
  <c r="CZ41" i="58" s="1"/>
  <c r="BW26" i="58"/>
  <c r="BT22" i="58"/>
  <c r="BT40" i="58" s="1"/>
  <c r="BZ26" i="58"/>
  <c r="DQ18" i="58"/>
  <c r="DW24" i="58" s="1"/>
  <c r="DW42" i="58" s="1"/>
  <c r="DQ17" i="58"/>
  <c r="DW23" i="58" s="1"/>
  <c r="DW41" i="58" s="1"/>
  <c r="DT17" i="58"/>
  <c r="DZ23" i="58" s="1"/>
  <c r="DZ41" i="58" s="1"/>
  <c r="DP18" i="58"/>
  <c r="DV24" i="58" s="1"/>
  <c r="DV42" i="58" s="1"/>
  <c r="DS17" i="58"/>
  <c r="DY23" i="58" s="1"/>
  <c r="DY41" i="58" s="1"/>
  <c r="DP17" i="58"/>
  <c r="DV23" i="58" s="1"/>
  <c r="DV41" i="58" s="1"/>
  <c r="DS18" i="58"/>
  <c r="DY24" i="58" s="1"/>
  <c r="DY42" i="58" s="1"/>
  <c r="N3" i="58"/>
  <c r="N28" i="58" s="1"/>
  <c r="N32" i="58" s="1"/>
  <c r="N33" i="58" s="1"/>
  <c r="DI25" i="58"/>
  <c r="DI43" i="58" s="1"/>
  <c r="EN19" i="58"/>
  <c r="ET25" i="58" s="1"/>
  <c r="ET43" i="58" s="1"/>
  <c r="Z31" i="58" l="1"/>
  <c r="AA6" i="58" s="1"/>
  <c r="X29" i="58"/>
  <c r="Y4" i="58" s="1"/>
  <c r="Y30" i="58"/>
  <c r="Z5" i="58" s="1"/>
  <c r="J6" i="43"/>
  <c r="BX16" i="58"/>
  <c r="BX20" i="58" s="1"/>
  <c r="J5" i="43"/>
  <c r="DB19" i="58"/>
  <c r="DH25" i="58" s="1"/>
  <c r="DH43" i="58" s="1"/>
  <c r="BX22" i="58"/>
  <c r="BX40" i="58" s="1"/>
  <c r="H46" i="43"/>
  <c r="H47" i="43" s="1"/>
  <c r="H4" i="39"/>
  <c r="H5" i="39" s="1"/>
  <c r="H19" i="43"/>
  <c r="H42" i="43"/>
  <c r="BP26" i="58"/>
  <c r="DV19" i="58"/>
  <c r="EB25" i="58" s="1"/>
  <c r="EB43" i="58" s="1"/>
  <c r="G32" i="43"/>
  <c r="G35" i="43" s="1"/>
  <c r="G8" i="39" s="1"/>
  <c r="DF17" i="58"/>
  <c r="DL23" i="58" s="1"/>
  <c r="DL41" i="58" s="1"/>
  <c r="BY16" i="58"/>
  <c r="G48" i="43"/>
  <c r="G49" i="43" s="1"/>
  <c r="CA16" i="58"/>
  <c r="CA20" i="58" s="1"/>
  <c r="BS26" i="58"/>
  <c r="BR26" i="58"/>
  <c r="DW18" i="58"/>
  <c r="EC24" i="58" s="1"/>
  <c r="EC42" i="58" s="1"/>
  <c r="DV17" i="58"/>
  <c r="EB23" i="58" s="1"/>
  <c r="EB41" i="58" s="1"/>
  <c r="BS16" i="58"/>
  <c r="BS20" i="58" s="1"/>
  <c r="DW17" i="58"/>
  <c r="EC23" i="58" s="1"/>
  <c r="EC41" i="58" s="1"/>
  <c r="H41" i="43"/>
  <c r="H27" i="43"/>
  <c r="DV18" i="58"/>
  <c r="EB24" i="58" s="1"/>
  <c r="EB42" i="58" s="1"/>
  <c r="BZ16" i="58"/>
  <c r="BZ20" i="58" s="1"/>
  <c r="BT26" i="58"/>
  <c r="CC16" i="58"/>
  <c r="CC20" i="58" s="1"/>
  <c r="CW19" i="58"/>
  <c r="CT18" i="58"/>
  <c r="CZ24" i="58" s="1"/>
  <c r="CZ42" i="58" s="1"/>
  <c r="CQ18" i="58"/>
  <c r="EF19" i="58"/>
  <c r="EL25" i="58" s="1"/>
  <c r="EL43" i="58" s="1"/>
  <c r="N7" i="58"/>
  <c r="N8" i="58" s="1"/>
  <c r="EQ19" i="58"/>
  <c r="EW25" i="58" s="1"/>
  <c r="EW43" i="58" s="1"/>
  <c r="EO19" i="58"/>
  <c r="EU25" i="58" s="1"/>
  <c r="EU43" i="58" s="1"/>
  <c r="CD22" i="58" l="1"/>
  <c r="CD40" i="58" s="1"/>
  <c r="Z30" i="58"/>
  <c r="AA5" i="58" s="1"/>
  <c r="Y29" i="58"/>
  <c r="Z4" i="58" s="1"/>
  <c r="AA31" i="58"/>
  <c r="AB6" i="58" s="1"/>
  <c r="CN18" i="58"/>
  <c r="DM19" i="58"/>
  <c r="DS25" i="58" s="1"/>
  <c r="DS43" i="58" s="1"/>
  <c r="BX26" i="58"/>
  <c r="DM18" i="58"/>
  <c r="DS24" i="58" s="1"/>
  <c r="DS42" i="58" s="1"/>
  <c r="DW19" i="58"/>
  <c r="EC25" i="58" s="1"/>
  <c r="EC43" i="58" s="1"/>
  <c r="DM17" i="58"/>
  <c r="DS23" i="58" s="1"/>
  <c r="DS41" i="58" s="1"/>
  <c r="CD17" i="58"/>
  <c r="J16" i="43"/>
  <c r="DN18" i="58"/>
  <c r="DT24" i="58" s="1"/>
  <c r="DT42" i="58" s="1"/>
  <c r="BY22" i="58"/>
  <c r="BY40" i="58" s="1"/>
  <c r="CF22" i="58"/>
  <c r="CF40" i="58" s="1"/>
  <c r="CG22" i="58"/>
  <c r="CG40" i="58" s="1"/>
  <c r="G36" i="43"/>
  <c r="G37" i="43" s="1"/>
  <c r="G10" i="39" s="1"/>
  <c r="G13" i="39" s="1"/>
  <c r="G16" i="39" s="1"/>
  <c r="DR17" i="58"/>
  <c r="DX23" i="58" s="1"/>
  <c r="DX41" i="58" s="1"/>
  <c r="CI22" i="58"/>
  <c r="CI40" i="58" s="1"/>
  <c r="K17" i="43"/>
  <c r="BY20" i="58"/>
  <c r="CE22" i="58"/>
  <c r="CE40" i="58" s="1"/>
  <c r="BW16" i="58"/>
  <c r="BW20" i="58" s="1"/>
  <c r="H3" i="62"/>
  <c r="H7" i="62" s="1"/>
  <c r="H8" i="62" s="1"/>
  <c r="H30" i="43" s="1"/>
  <c r="H29" i="43"/>
  <c r="DC17" i="58"/>
  <c r="DI23" i="58" s="1"/>
  <c r="DI41" i="58" s="1"/>
  <c r="BU16" i="58"/>
  <c r="BU20" i="58" s="1"/>
  <c r="DL19" i="58"/>
  <c r="DR25" i="58" s="1"/>
  <c r="DR43" i="58" s="1"/>
  <c r="EF17" i="58"/>
  <c r="EL23" i="58" s="1"/>
  <c r="EL41" i="58" s="1"/>
  <c r="DC25" i="58"/>
  <c r="DC43" i="58" s="1"/>
  <c r="CW18" i="58"/>
  <c r="DC24" i="58" s="1"/>
  <c r="DC42" i="58" s="1"/>
  <c r="BV16" i="58"/>
  <c r="BV20" i="58" s="1"/>
  <c r="EC18" i="58"/>
  <c r="EI24" i="58" s="1"/>
  <c r="EI42" i="58" s="1"/>
  <c r="EF18" i="58"/>
  <c r="EL24" i="58" s="1"/>
  <c r="EL42" i="58" s="1"/>
  <c r="EB18" i="58"/>
  <c r="EH24" i="58" s="1"/>
  <c r="EH42" i="58" s="1"/>
  <c r="EE17" i="58"/>
  <c r="EK23" i="58" s="1"/>
  <c r="EK41" i="58" s="1"/>
  <c r="EC17" i="58"/>
  <c r="EI23" i="58" s="1"/>
  <c r="EI41" i="58" s="1"/>
  <c r="CW24" i="58"/>
  <c r="CW42" i="58" s="1"/>
  <c r="EE18" i="58"/>
  <c r="EK24" i="58" s="1"/>
  <c r="EK42" i="58" s="1"/>
  <c r="EB17" i="58"/>
  <c r="EH23" i="58" s="1"/>
  <c r="EH41" i="58" s="1"/>
  <c r="CD26" i="58"/>
  <c r="O3" i="58"/>
  <c r="O28" i="58" s="1"/>
  <c r="O32" i="58" s="1"/>
  <c r="O33" i="58" s="1"/>
  <c r="EZ19" i="58"/>
  <c r="FF25" i="58" s="1"/>
  <c r="FF43" i="58" s="1"/>
  <c r="AA30" i="58" l="1"/>
  <c r="AB5" i="58" s="1"/>
  <c r="AB31" i="58"/>
  <c r="AC6" i="58" s="1"/>
  <c r="Z29" i="58"/>
  <c r="AA4" i="58" s="1"/>
  <c r="CT24" i="58"/>
  <c r="CT42" i="58" s="1"/>
  <c r="I4" i="43"/>
  <c r="I3" i="43" s="1"/>
  <c r="I8" i="43" s="1"/>
  <c r="I5" i="62" s="1"/>
  <c r="BY26" i="58"/>
  <c r="CJ23" i="58"/>
  <c r="CJ41" i="58" s="1"/>
  <c r="DN19" i="58"/>
  <c r="DT25" i="58" s="1"/>
  <c r="DT43" i="58" s="1"/>
  <c r="CF26" i="58"/>
  <c r="CG26" i="58"/>
  <c r="EH19" i="58"/>
  <c r="EN25" i="58" s="1"/>
  <c r="EN43" i="58" s="1"/>
  <c r="G5" i="38"/>
  <c r="G7" i="38" s="1"/>
  <c r="G21" i="38" s="1"/>
  <c r="G22" i="38" s="1"/>
  <c r="H20" i="38" s="1"/>
  <c r="G43" i="43"/>
  <c r="G44" i="43" s="1"/>
  <c r="G38" i="43"/>
  <c r="G45" i="43"/>
  <c r="G9" i="39"/>
  <c r="G15" i="39"/>
  <c r="G18" i="39"/>
  <c r="H31" i="43"/>
  <c r="H48" i="43" s="1"/>
  <c r="H49" i="43" s="1"/>
  <c r="DO17" i="58"/>
  <c r="DU23" i="58" s="1"/>
  <c r="DU41" i="58" s="1"/>
  <c r="DI19" i="58"/>
  <c r="DO25" i="58" s="1"/>
  <c r="DO43" i="58" s="1"/>
  <c r="I15" i="43"/>
  <c r="I14" i="43" s="1"/>
  <c r="I4" i="39" s="1"/>
  <c r="CI26" i="58"/>
  <c r="CE26" i="58"/>
  <c r="CC22" i="58"/>
  <c r="CC40" i="58" s="1"/>
  <c r="CL16" i="58"/>
  <c r="CL20" i="58" s="1"/>
  <c r="EH18" i="58"/>
  <c r="EN24" i="58" s="1"/>
  <c r="EN42" i="58" s="1"/>
  <c r="L7" i="43"/>
  <c r="EI17" i="58"/>
  <c r="EO23" i="58" s="1"/>
  <c r="EO41" i="58" s="1"/>
  <c r="CB16" i="58"/>
  <c r="EH17" i="58"/>
  <c r="EN23" i="58" s="1"/>
  <c r="EN41" i="58" s="1"/>
  <c r="EI18" i="58"/>
  <c r="EO24" i="58" s="1"/>
  <c r="EO42" i="58" s="1"/>
  <c r="CB22" i="58"/>
  <c r="CB40" i="58" s="1"/>
  <c r="CA22" i="58"/>
  <c r="CA40" i="58" s="1"/>
  <c r="CJ16" i="58"/>
  <c r="CJ20" i="58" s="1"/>
  <c r="ER19" i="58"/>
  <c r="EX25" i="58" s="1"/>
  <c r="EX43" i="58" s="1"/>
  <c r="O7" i="58"/>
  <c r="O8" i="58" s="1"/>
  <c r="FC19" i="58"/>
  <c r="FI25" i="58" s="1"/>
  <c r="FI43" i="58" s="1"/>
  <c r="AA29" i="58" l="1"/>
  <c r="AB4" i="58" s="1"/>
  <c r="AC31" i="58"/>
  <c r="AD6" i="58" s="1"/>
  <c r="AB30" i="58"/>
  <c r="AC5" i="58" s="1"/>
  <c r="K6" i="43"/>
  <c r="I3" i="39"/>
  <c r="I5" i="39" s="1"/>
  <c r="DY19" i="58"/>
  <c r="EE25" i="58" s="1"/>
  <c r="EE43" i="58" s="1"/>
  <c r="DY18" i="58"/>
  <c r="EE24" i="58" s="1"/>
  <c r="EE42" i="58" s="1"/>
  <c r="DZ18" i="58"/>
  <c r="EF24" i="58" s="1"/>
  <c r="EF42" i="58" s="1"/>
  <c r="EI19" i="58"/>
  <c r="EO25" i="58" s="1"/>
  <c r="EO43" i="58" s="1"/>
  <c r="K5" i="43"/>
  <c r="DY17" i="58"/>
  <c r="EE23" i="58" s="1"/>
  <c r="EE41" i="58" s="1"/>
  <c r="CI16" i="58"/>
  <c r="CI20" i="58" s="1"/>
  <c r="CR22" i="58"/>
  <c r="CR40" i="58" s="1"/>
  <c r="H6" i="39"/>
  <c r="H32" i="43"/>
  <c r="H35" i="43" s="1"/>
  <c r="H8" i="39" s="1"/>
  <c r="I42" i="43"/>
  <c r="I19" i="43"/>
  <c r="I46" i="43"/>
  <c r="I47" i="43" s="1"/>
  <c r="DU19" i="58"/>
  <c r="EA25" i="58" s="1"/>
  <c r="EA43" i="58" s="1"/>
  <c r="CH16" i="58"/>
  <c r="I21" i="43"/>
  <c r="I41" i="43" s="1"/>
  <c r="CG16" i="58"/>
  <c r="CG20" i="58" s="1"/>
  <c r="FA19" i="58"/>
  <c r="FG25" i="58" s="1"/>
  <c r="FG43" i="58" s="1"/>
  <c r="CA26" i="58"/>
  <c r="DF19" i="58"/>
  <c r="DL25" i="58" s="1"/>
  <c r="DL43" i="58" s="1"/>
  <c r="L18" i="43"/>
  <c r="CB26" i="58"/>
  <c r="CH22" i="58"/>
  <c r="CH40" i="58" s="1"/>
  <c r="CB20" i="58"/>
  <c r="DF18" i="58"/>
  <c r="DL24" i="58" s="1"/>
  <c r="DL42" i="58" s="1"/>
  <c r="CC26" i="58"/>
  <c r="DL17" i="58"/>
  <c r="EQ18" i="58"/>
  <c r="EW24" i="58" s="1"/>
  <c r="EW42" i="58" s="1"/>
  <c r="CP22" i="58"/>
  <c r="CP40" i="58" s="1"/>
  <c r="EQ17" i="58"/>
  <c r="EW23" i="58" s="1"/>
  <c r="EW41" i="58" s="1"/>
  <c r="EN17" i="58"/>
  <c r="ET23" i="58" s="1"/>
  <c r="ET41" i="58" s="1"/>
  <c r="DC18" i="58"/>
  <c r="ER17" i="58"/>
  <c r="EX23" i="58" s="1"/>
  <c r="EX41" i="58" s="1"/>
  <c r="EO17" i="58"/>
  <c r="EU23" i="58" s="1"/>
  <c r="EU41" i="58" s="1"/>
  <c r="EN18" i="58"/>
  <c r="ET24" i="58" s="1"/>
  <c r="ET42" i="58" s="1"/>
  <c r="EA17" i="58"/>
  <c r="EG23" i="58" s="1"/>
  <c r="EG41" i="58" s="1"/>
  <c r="EO18" i="58"/>
  <c r="EU24" i="58" s="1"/>
  <c r="EU42" i="58" s="1"/>
  <c r="P3" i="58"/>
  <c r="P28" i="58" s="1"/>
  <c r="P32" i="58" s="1"/>
  <c r="P33" i="58" s="1"/>
  <c r="FL19" i="58"/>
  <c r="CO22" i="58" l="1"/>
  <c r="CO40" i="58" s="1"/>
  <c r="AD31" i="58"/>
  <c r="AE6" i="58" s="1"/>
  <c r="AC30" i="58"/>
  <c r="AD5" i="58" s="1"/>
  <c r="AB29" i="58"/>
  <c r="AC4" i="58" s="1"/>
  <c r="CZ18" i="58"/>
  <c r="L17" i="43"/>
  <c r="CP17" i="58"/>
  <c r="CV23" i="58" s="1"/>
  <c r="CV41" i="58" s="1"/>
  <c r="K16" i="43"/>
  <c r="DZ19" i="58"/>
  <c r="EF25" i="58" s="1"/>
  <c r="EF43" i="58" s="1"/>
  <c r="CR26" i="58"/>
  <c r="ET19" i="58"/>
  <c r="EZ25" i="58" s="1"/>
  <c r="EZ43" i="58" s="1"/>
  <c r="H36" i="43"/>
  <c r="H43" i="43" s="1"/>
  <c r="H44" i="43" s="1"/>
  <c r="I27" i="43"/>
  <c r="I29" i="43" s="1"/>
  <c r="CM22" i="58"/>
  <c r="CM40" i="58" s="1"/>
  <c r="DR19" i="58"/>
  <c r="DX25" i="58" s="1"/>
  <c r="DX43" i="58" s="1"/>
  <c r="CH20" i="58"/>
  <c r="CN22" i="58"/>
  <c r="CN40" i="58" s="1"/>
  <c r="DR23" i="58"/>
  <c r="DR41" i="58" s="1"/>
  <c r="CO26" i="58"/>
  <c r="CF16" i="58"/>
  <c r="CF20" i="58" s="1"/>
  <c r="CE16" i="58"/>
  <c r="CE20" i="58" s="1"/>
  <c r="ER18" i="58"/>
  <c r="EX24" i="58" s="1"/>
  <c r="EX42" i="58" s="1"/>
  <c r="CH26" i="58"/>
  <c r="J4" i="43"/>
  <c r="J3" i="43" s="1"/>
  <c r="ET17" i="58"/>
  <c r="EZ23" i="58" s="1"/>
  <c r="EZ41" i="58" s="1"/>
  <c r="ET18" i="58"/>
  <c r="EZ24" i="58" s="1"/>
  <c r="EZ42" i="58" s="1"/>
  <c r="CU16" i="58"/>
  <c r="CU20" i="58" s="1"/>
  <c r="EU17" i="58"/>
  <c r="FA23" i="58" s="1"/>
  <c r="FA41" i="58" s="1"/>
  <c r="DI18" i="58"/>
  <c r="DO24" i="58" s="1"/>
  <c r="DO42" i="58" s="1"/>
  <c r="EU18" i="58"/>
  <c r="FA24" i="58" s="1"/>
  <c r="FA42" i="58" s="1"/>
  <c r="CD16" i="58"/>
  <c r="CD20" i="58" s="1"/>
  <c r="CP26" i="58"/>
  <c r="DI24" i="58"/>
  <c r="DI42" i="58" s="1"/>
  <c r="FD19" i="58"/>
  <c r="FJ25" i="58" s="1"/>
  <c r="P7" i="58"/>
  <c r="P8" i="58" s="1"/>
  <c r="FO19" i="58"/>
  <c r="FM19" i="58" l="1"/>
  <c r="FJ43" i="58"/>
  <c r="AC29" i="58"/>
  <c r="AD4" i="58" s="1"/>
  <c r="AD30" i="58"/>
  <c r="AE5" i="58" s="1"/>
  <c r="AE31" i="58"/>
  <c r="AF6" i="58" s="1"/>
  <c r="CM26" i="58"/>
  <c r="H37" i="43"/>
  <c r="H5" i="38" s="1"/>
  <c r="H7" i="38" s="1"/>
  <c r="H21" i="38" s="1"/>
  <c r="H22" i="38" s="1"/>
  <c r="I20" i="38" s="1"/>
  <c r="DF24" i="58"/>
  <c r="DF42" i="58" s="1"/>
  <c r="EK17" i="58"/>
  <c r="EQ23" i="58" s="1"/>
  <c r="EQ41" i="58" s="1"/>
  <c r="EK18" i="58"/>
  <c r="EQ24" i="58" s="1"/>
  <c r="EQ42" i="58" s="1"/>
  <c r="EU19" i="58"/>
  <c r="FA25" i="58" s="1"/>
  <c r="FA43" i="58" s="1"/>
  <c r="EL18" i="58"/>
  <c r="ER24" i="58" s="1"/>
  <c r="ER42" i="58" s="1"/>
  <c r="EK19" i="58"/>
  <c r="EQ25" i="58" s="1"/>
  <c r="EQ43" i="58" s="1"/>
  <c r="L5" i="43"/>
  <c r="H9" i="39"/>
  <c r="CJ22" i="58"/>
  <c r="CJ40" i="58" s="1"/>
  <c r="I3" i="62"/>
  <c r="I7" i="62" s="1"/>
  <c r="I8" i="62" s="1"/>
  <c r="I30" i="43" s="1"/>
  <c r="I31" i="43" s="1"/>
  <c r="DX17" i="58"/>
  <c r="ED23" i="58" s="1"/>
  <c r="ED41" i="58" s="1"/>
  <c r="CN26" i="58"/>
  <c r="DA22" i="58"/>
  <c r="CL22" i="58"/>
  <c r="CL40" i="58" s="1"/>
  <c r="FD17" i="58"/>
  <c r="FJ23" i="58" s="1"/>
  <c r="FJ41" i="58" s="1"/>
  <c r="FD18" i="58"/>
  <c r="FJ24" i="58" s="1"/>
  <c r="FJ42" i="58" s="1"/>
  <c r="CK16" i="58"/>
  <c r="CK20" i="58" s="1"/>
  <c r="DO19" i="58"/>
  <c r="M18" i="43"/>
  <c r="CS16" i="58"/>
  <c r="CS20" i="58" s="1"/>
  <c r="J3" i="39"/>
  <c r="J8" i="43"/>
  <c r="J5" i="62" s="1"/>
  <c r="J15" i="43"/>
  <c r="J14" i="43" s="1"/>
  <c r="J21" i="43" s="1"/>
  <c r="ED19" i="58"/>
  <c r="EJ25" i="58" s="1"/>
  <c r="EJ43" i="58" s="1"/>
  <c r="CK22" i="58"/>
  <c r="CK40" i="58" s="1"/>
  <c r="FA18" i="58"/>
  <c r="FG24" i="58" s="1"/>
  <c r="FG42" i="58" s="1"/>
  <c r="FC18" i="58"/>
  <c r="FI24" i="58" s="1"/>
  <c r="FI42" i="58" s="1"/>
  <c r="EZ18" i="58"/>
  <c r="FF24" i="58" s="1"/>
  <c r="FF42" i="58" s="1"/>
  <c r="EZ17" i="58"/>
  <c r="FF23" i="58" s="1"/>
  <c r="FF41" i="58" s="1"/>
  <c r="FC17" i="58"/>
  <c r="FI23" i="58" s="1"/>
  <c r="FI41" i="58" s="1"/>
  <c r="FA17" i="58"/>
  <c r="FG23" i="58" s="1"/>
  <c r="FG41" i="58" s="1"/>
  <c r="Q3" i="58"/>
  <c r="Q28" i="58" s="1"/>
  <c r="Q32" i="58" s="1"/>
  <c r="Q33" i="58" s="1"/>
  <c r="DA26" i="58" l="1"/>
  <c r="DA40" i="58"/>
  <c r="AE30" i="58"/>
  <c r="AF5" i="58" s="1"/>
  <c r="AF30" i="58" s="1"/>
  <c r="AG5" i="58" s="1"/>
  <c r="AF31" i="58"/>
  <c r="AG6" i="58" s="1"/>
  <c r="AG31" i="58" s="1"/>
  <c r="AH6" i="58" s="1"/>
  <c r="AH31" i="58" s="1"/>
  <c r="AI6" i="58" s="1"/>
  <c r="AD29" i="58"/>
  <c r="AE4" i="58" s="1"/>
  <c r="H38" i="43"/>
  <c r="H10" i="39"/>
  <c r="H13" i="39" s="1"/>
  <c r="H15" i="39" s="1"/>
  <c r="H45" i="43"/>
  <c r="L6" i="43"/>
  <c r="EL19" i="58"/>
  <c r="ER25" i="58" s="1"/>
  <c r="ER43" i="58" s="1"/>
  <c r="DB17" i="58"/>
  <c r="L16" i="43"/>
  <c r="CJ26" i="58"/>
  <c r="CP16" i="58"/>
  <c r="CP20" i="58" s="1"/>
  <c r="I32" i="43"/>
  <c r="I35" i="43" s="1"/>
  <c r="I36" i="43" s="1"/>
  <c r="I37" i="43" s="1"/>
  <c r="I48" i="43"/>
  <c r="I49" i="43" s="1"/>
  <c r="I6" i="39"/>
  <c r="CL26" i="58"/>
  <c r="CR16" i="58"/>
  <c r="CR20" i="58" s="1"/>
  <c r="FF19" i="58"/>
  <c r="FL25" i="58" s="1"/>
  <c r="FL43" i="58" s="1"/>
  <c r="CQ16" i="58"/>
  <c r="CQ20" i="58" s="1"/>
  <c r="J46" i="43"/>
  <c r="J47" i="43" s="1"/>
  <c r="DU17" i="58"/>
  <c r="EA23" i="58" s="1"/>
  <c r="EA41" i="58" s="1"/>
  <c r="CM16" i="58"/>
  <c r="CM20" i="58" s="1"/>
  <c r="DU25" i="58"/>
  <c r="DU43" i="58" s="1"/>
  <c r="FF18" i="58"/>
  <c r="FL24" i="58" s="1"/>
  <c r="FL42" i="58" s="1"/>
  <c r="J42" i="43"/>
  <c r="J4" i="39"/>
  <c r="J5" i="39" s="1"/>
  <c r="J19" i="43"/>
  <c r="FF17" i="58"/>
  <c r="FL23" i="58" s="1"/>
  <c r="FL41" i="58" s="1"/>
  <c r="FG18" i="58"/>
  <c r="FM24" i="58" s="1"/>
  <c r="FM42" i="58" s="1"/>
  <c r="CY22" i="58"/>
  <c r="CY40" i="58" s="1"/>
  <c r="CQ22" i="58"/>
  <c r="CQ40" i="58" s="1"/>
  <c r="FG17" i="58"/>
  <c r="FM23" i="58" s="1"/>
  <c r="FM41" i="58" s="1"/>
  <c r="CK26" i="58"/>
  <c r="CO16" i="58"/>
  <c r="CO20" i="58" s="1"/>
  <c r="J27" i="43"/>
  <c r="J29" i="43" s="1"/>
  <c r="J41" i="43"/>
  <c r="DR18" i="58"/>
  <c r="DX24" i="58" s="1"/>
  <c r="DX42" i="58" s="1"/>
  <c r="DO18" i="58"/>
  <c r="Q7" i="58"/>
  <c r="Q8" i="58" s="1"/>
  <c r="H16" i="39" l="1"/>
  <c r="AE29" i="58"/>
  <c r="AF4" i="58" s="1"/>
  <c r="AI31" i="58"/>
  <c r="AJ6" i="58" s="1"/>
  <c r="AG30" i="58"/>
  <c r="AH5" i="58" s="1"/>
  <c r="H18" i="39"/>
  <c r="M17" i="43"/>
  <c r="DL18" i="58"/>
  <c r="DH23" i="58"/>
  <c r="DH41" i="58" s="1"/>
  <c r="EW18" i="58"/>
  <c r="FC24" i="58" s="1"/>
  <c r="FC42" i="58" s="1"/>
  <c r="EX18" i="58"/>
  <c r="FD24" i="58" s="1"/>
  <c r="FD42" i="58" s="1"/>
  <c r="FG19" i="58"/>
  <c r="FM25" i="58" s="1"/>
  <c r="FM43" i="58" s="1"/>
  <c r="EW17" i="58"/>
  <c r="FC23" i="58" s="1"/>
  <c r="FC41" i="58" s="1"/>
  <c r="EW19" i="58"/>
  <c r="FC25" i="58" s="1"/>
  <c r="FC43" i="58" s="1"/>
  <c r="CV22" i="58"/>
  <c r="CV40" i="58" s="1"/>
  <c r="I8" i="39"/>
  <c r="CW22" i="58"/>
  <c r="CW40" i="58" s="1"/>
  <c r="CX22" i="58"/>
  <c r="CX40" i="58" s="1"/>
  <c r="CS22" i="58"/>
  <c r="J3" i="62"/>
  <c r="J7" i="62" s="1"/>
  <c r="J8" i="62" s="1"/>
  <c r="J30" i="43" s="1"/>
  <c r="J31" i="43" s="1"/>
  <c r="EA19" i="58"/>
  <c r="EG25" i="58" s="1"/>
  <c r="EG43" i="58" s="1"/>
  <c r="EG17" i="58"/>
  <c r="EM23" i="58" s="1"/>
  <c r="EM41" i="58" s="1"/>
  <c r="EJ17" i="58"/>
  <c r="EP23" i="58" s="1"/>
  <c r="EP41" i="58" s="1"/>
  <c r="I10" i="39"/>
  <c r="I13" i="39" s="1"/>
  <c r="I5" i="38"/>
  <c r="I7" i="38" s="1"/>
  <c r="I21" i="38" s="1"/>
  <c r="I22" i="38" s="1"/>
  <c r="J20" i="38" s="1"/>
  <c r="I45" i="43"/>
  <c r="I38" i="43"/>
  <c r="CU22" i="58"/>
  <c r="CU40" i="58" s="1"/>
  <c r="CY26" i="58"/>
  <c r="CN16" i="58"/>
  <c r="I9" i="39"/>
  <c r="I43" i="43"/>
  <c r="I44" i="43" s="1"/>
  <c r="CQ26" i="58"/>
  <c r="FO17" i="58"/>
  <c r="DU18" i="58"/>
  <c r="EA24" i="58" s="1"/>
  <c r="EA42" i="58" s="1"/>
  <c r="FM17" i="58"/>
  <c r="FM18" i="58"/>
  <c r="FL18" i="58"/>
  <c r="FO18" i="58"/>
  <c r="FL17" i="58"/>
  <c r="DU24" i="58"/>
  <c r="DU42" i="58" s="1"/>
  <c r="R3" i="58"/>
  <c r="R28" i="58" s="1"/>
  <c r="R32" i="58" s="1"/>
  <c r="R33" i="58" s="1"/>
  <c r="CS40" i="58" l="1"/>
  <c r="AJ31" i="58"/>
  <c r="AK6" i="58" s="1"/>
  <c r="AF29" i="58"/>
  <c r="AG4" i="58" s="1"/>
  <c r="AG29" i="58" s="1"/>
  <c r="AH4" i="58" s="1"/>
  <c r="AH29" i="58" s="1"/>
  <c r="AI4" i="58" s="1"/>
  <c r="AH30" i="58"/>
  <c r="AI5" i="58" s="1"/>
  <c r="CV26" i="58"/>
  <c r="DR24" i="58"/>
  <c r="DR42" i="58" s="1"/>
  <c r="CW26" i="58"/>
  <c r="EX19" i="58"/>
  <c r="FD25" i="58" s="1"/>
  <c r="FD43" i="58" s="1"/>
  <c r="M5" i="43"/>
  <c r="CS26" i="58"/>
  <c r="CY16" i="58"/>
  <c r="CY20" i="58" s="1"/>
  <c r="CX26" i="58"/>
  <c r="J48" i="43"/>
  <c r="J49" i="43" s="1"/>
  <c r="J6" i="39"/>
  <c r="J32" i="43"/>
  <c r="J35" i="43" s="1"/>
  <c r="DA16" i="58"/>
  <c r="DA20" i="58" s="1"/>
  <c r="CV16" i="58"/>
  <c r="CV20" i="58" s="1"/>
  <c r="M7" i="43"/>
  <c r="DX19" i="58"/>
  <c r="ED25" i="58" s="1"/>
  <c r="ED43" i="58" s="1"/>
  <c r="N18" i="43"/>
  <c r="CT16" i="58"/>
  <c r="CT20" i="58" s="1"/>
  <c r="ED17" i="58"/>
  <c r="EJ23" i="58" s="1"/>
  <c r="EJ41" i="58" s="1"/>
  <c r="CT22" i="58"/>
  <c r="CT40" i="58" s="1"/>
  <c r="CN20" i="58"/>
  <c r="CU26" i="58"/>
  <c r="DB16" i="58"/>
  <c r="DB20" i="58" s="1"/>
  <c r="I15" i="39"/>
  <c r="I18" i="39"/>
  <c r="I16" i="39"/>
  <c r="R7" i="58"/>
  <c r="R8" i="58" s="1"/>
  <c r="DB22" i="58" l="1"/>
  <c r="DB40" i="58" s="1"/>
  <c r="AI29" i="58"/>
  <c r="AJ4" i="58" s="1"/>
  <c r="AI30" i="58"/>
  <c r="AJ5" i="58" s="1"/>
  <c r="AK31" i="58"/>
  <c r="AL6" i="58" s="1"/>
  <c r="M6" i="43"/>
  <c r="CZ22" i="58"/>
  <c r="CZ40" i="58" s="1"/>
  <c r="FI19" i="58"/>
  <c r="FO25" i="58" s="1"/>
  <c r="FO43" i="58" s="1"/>
  <c r="FI17" i="58"/>
  <c r="FO23" i="58" s="1"/>
  <c r="FO41" i="58" s="1"/>
  <c r="FI18" i="58"/>
  <c r="FO24" i="58" s="1"/>
  <c r="FO42" i="58" s="1"/>
  <c r="DN17" i="58"/>
  <c r="M16" i="43"/>
  <c r="FJ18" i="58"/>
  <c r="DE22" i="58"/>
  <c r="DD16" i="58"/>
  <c r="DD20" i="58" s="1"/>
  <c r="DH16" i="58"/>
  <c r="DH20" i="58" s="1"/>
  <c r="EJ19" i="58"/>
  <c r="EP25" i="58" s="1"/>
  <c r="EP43" i="58" s="1"/>
  <c r="DG22" i="58"/>
  <c r="DG40" i="58" s="1"/>
  <c r="CZ16" i="58"/>
  <c r="CZ20" i="58" s="1"/>
  <c r="EP17" i="58"/>
  <c r="EV23" i="58" s="1"/>
  <c r="EV41" i="58" s="1"/>
  <c r="ES17" i="58"/>
  <c r="EY23" i="58" s="1"/>
  <c r="EY41" i="58" s="1"/>
  <c r="DH22" i="58"/>
  <c r="DH40" i="58" s="1"/>
  <c r="EM19" i="58"/>
  <c r="ES25" i="58" s="1"/>
  <c r="ES43" i="58" s="1"/>
  <c r="CT26" i="58"/>
  <c r="K4" i="43"/>
  <c r="K3" i="43" s="1"/>
  <c r="K15" i="43"/>
  <c r="K14" i="43" s="1"/>
  <c r="CX16" i="58"/>
  <c r="CX20" i="58" s="1"/>
  <c r="ED18" i="58"/>
  <c r="EJ24" i="58" s="1"/>
  <c r="EJ42" i="58" s="1"/>
  <c r="DB26" i="58"/>
  <c r="N7" i="43"/>
  <c r="EA18" i="58"/>
  <c r="EG24" i="58" s="1"/>
  <c r="EG42" i="58" s="1"/>
  <c r="S3" i="58"/>
  <c r="S28" i="58" s="1"/>
  <c r="S32" i="58" s="1"/>
  <c r="S33" i="58" s="1"/>
  <c r="J8" i="39"/>
  <c r="J36" i="43"/>
  <c r="J37" i="43" s="1"/>
  <c r="DE26" i="58" l="1"/>
  <c r="DE40" i="58"/>
  <c r="AL31" i="58"/>
  <c r="AM6" i="58" s="1"/>
  <c r="AJ30" i="58"/>
  <c r="AK5" i="58" s="1"/>
  <c r="AJ29" i="58"/>
  <c r="AK4" i="58" s="1"/>
  <c r="CZ26" i="58"/>
  <c r="N17" i="43"/>
  <c r="DX18" i="58"/>
  <c r="DN22" i="58"/>
  <c r="DJ22" i="58"/>
  <c r="DJ40" i="58" s="1"/>
  <c r="FJ19" i="58"/>
  <c r="DT23" i="58"/>
  <c r="DT41" i="58" s="1"/>
  <c r="DH26" i="58"/>
  <c r="DD22" i="58"/>
  <c r="DG26" i="58"/>
  <c r="DF22" i="58"/>
  <c r="DF40" i="58" s="1"/>
  <c r="K21" i="43"/>
  <c r="K4" i="39"/>
  <c r="K19" i="43"/>
  <c r="K42" i="43"/>
  <c r="EG19" i="58"/>
  <c r="EM25" i="58" s="1"/>
  <c r="EM43" i="58" s="1"/>
  <c r="EG18" i="58"/>
  <c r="EM24" i="58" s="1"/>
  <c r="EM42" i="58" s="1"/>
  <c r="DC16" i="58"/>
  <c r="DC20" i="58" s="1"/>
  <c r="K3" i="39"/>
  <c r="K8" i="43"/>
  <c r="K5" i="62" s="1"/>
  <c r="K46" i="43"/>
  <c r="K47" i="43" s="1"/>
  <c r="EM17" i="58"/>
  <c r="ES23" i="58" s="1"/>
  <c r="ES41" i="58" s="1"/>
  <c r="DE16" i="58"/>
  <c r="DE20" i="58" s="1"/>
  <c r="CW16" i="58"/>
  <c r="CW20" i="58" s="1"/>
  <c r="EM18" i="58"/>
  <c r="S7" i="58"/>
  <c r="S8" i="58" s="1"/>
  <c r="J45" i="43"/>
  <c r="J10" i="39"/>
  <c r="J13" i="39" s="1"/>
  <c r="J5" i="38"/>
  <c r="J7" i="38" s="1"/>
  <c r="J21" i="38" s="1"/>
  <c r="J22" i="38" s="1"/>
  <c r="K20" i="38" s="1"/>
  <c r="J38" i="43"/>
  <c r="J9" i="39"/>
  <c r="J43" i="43"/>
  <c r="J44" i="43" s="1"/>
  <c r="DD40" i="58" l="1"/>
  <c r="DN26" i="58"/>
  <c r="DN40" i="58"/>
  <c r="AK30" i="58"/>
  <c r="AL5" i="58" s="1"/>
  <c r="AL30" i="58" s="1"/>
  <c r="AM5" i="58" s="1"/>
  <c r="AK29" i="58"/>
  <c r="AL4" i="58" s="1"/>
  <c r="AM31" i="58"/>
  <c r="AN6" i="58" s="1"/>
  <c r="DJ26" i="58"/>
  <c r="ED24" i="58"/>
  <c r="ED42" i="58" s="1"/>
  <c r="N5" i="43"/>
  <c r="DK16" i="58"/>
  <c r="DK20" i="58" s="1"/>
  <c r="DD26" i="58"/>
  <c r="DJ16" i="58"/>
  <c r="FB17" i="58"/>
  <c r="FH23" i="58" s="1"/>
  <c r="FH41" i="58" s="1"/>
  <c r="DM16" i="58"/>
  <c r="DM20" i="58" s="1"/>
  <c r="DK22" i="58"/>
  <c r="DK40" i="58" s="1"/>
  <c r="EY17" i="58"/>
  <c r="FE23" i="58" s="1"/>
  <c r="FE41" i="58" s="1"/>
  <c r="DF26" i="58"/>
  <c r="ES19" i="58"/>
  <c r="EY25" i="58" s="1"/>
  <c r="EY43" i="58" s="1"/>
  <c r="EV19" i="58"/>
  <c r="FB25" i="58" s="1"/>
  <c r="FB43" i="58" s="1"/>
  <c r="O7" i="43"/>
  <c r="K5" i="39"/>
  <c r="K27" i="43"/>
  <c r="K3" i="62" s="1"/>
  <c r="K7" i="62" s="1"/>
  <c r="K8" i="62" s="1"/>
  <c r="K30" i="43" s="1"/>
  <c r="K41" i="43"/>
  <c r="DC22" i="58"/>
  <c r="DC40" i="58" s="1"/>
  <c r="DG16" i="58"/>
  <c r="DG20" i="58" s="1"/>
  <c r="DI22" i="58"/>
  <c r="DI40" i="58" s="1"/>
  <c r="ES24" i="58"/>
  <c r="ES42" i="58" s="1"/>
  <c r="T3" i="58"/>
  <c r="T28" i="58" s="1"/>
  <c r="T32" i="58" s="1"/>
  <c r="T33" i="58" s="1"/>
  <c r="J15" i="39"/>
  <c r="J18" i="39"/>
  <c r="J16" i="39"/>
  <c r="AN31" i="58" l="1"/>
  <c r="AO6" i="58" s="1"/>
  <c r="AL29" i="58"/>
  <c r="AM4" i="58" s="1"/>
  <c r="AM30" i="58"/>
  <c r="AN5" i="58" s="1"/>
  <c r="N6" i="43"/>
  <c r="DZ17" i="58"/>
  <c r="EF23" i="58" s="1"/>
  <c r="EF41" i="58" s="1"/>
  <c r="N16" i="43"/>
  <c r="DQ22" i="58"/>
  <c r="DQ40" i="58" s="1"/>
  <c r="DK26" i="58"/>
  <c r="DM22" i="58"/>
  <c r="DM40" i="58" s="1"/>
  <c r="DJ20" i="58"/>
  <c r="DP22" i="58"/>
  <c r="DP40" i="58" s="1"/>
  <c r="DS22" i="58"/>
  <c r="DS40" i="58" s="1"/>
  <c r="DI16" i="58"/>
  <c r="DI20" i="58" s="1"/>
  <c r="DQ16" i="58"/>
  <c r="DQ20" i="58" s="1"/>
  <c r="EP18" i="58"/>
  <c r="EV24" i="58" s="1"/>
  <c r="EV42" i="58" s="1"/>
  <c r="ES18" i="58"/>
  <c r="EY24" i="58" s="1"/>
  <c r="EY42" i="58" s="1"/>
  <c r="DI26" i="58"/>
  <c r="DC26" i="58"/>
  <c r="L4" i="43"/>
  <c r="L3" i="43" s="1"/>
  <c r="DQ26" i="58"/>
  <c r="DN16" i="58"/>
  <c r="DN20" i="58" s="1"/>
  <c r="DM26" i="58"/>
  <c r="EV17" i="58"/>
  <c r="FB23" i="58" s="1"/>
  <c r="FB41" i="58" s="1"/>
  <c r="K29" i="43"/>
  <c r="K31" i="43" s="1"/>
  <c r="O18" i="43"/>
  <c r="EP19" i="58"/>
  <c r="T7" i="58"/>
  <c r="T8" i="58" s="1"/>
  <c r="AN30" i="58" l="1"/>
  <c r="AO5" i="58" s="1"/>
  <c r="AM29" i="58"/>
  <c r="AN4" i="58" s="1"/>
  <c r="AN29" i="58" s="1"/>
  <c r="AO4" i="58" s="1"/>
  <c r="AO31" i="58"/>
  <c r="AP6" i="58" s="1"/>
  <c r="EJ18" i="58"/>
  <c r="EP24" i="58" s="1"/>
  <c r="EP42" i="58" s="1"/>
  <c r="O17" i="43"/>
  <c r="O5" i="43"/>
  <c r="DS16" i="58"/>
  <c r="DS26" i="58"/>
  <c r="DP26" i="58"/>
  <c r="DO22" i="58"/>
  <c r="DO40" i="58" s="1"/>
  <c r="FH17" i="58"/>
  <c r="FN23" i="58" s="1"/>
  <c r="FN41" i="58" s="1"/>
  <c r="FK17" i="58"/>
  <c r="FE19" i="58"/>
  <c r="FK25" i="58" s="1"/>
  <c r="FK43" i="58" s="1"/>
  <c r="DW22" i="58"/>
  <c r="DW40" i="58" s="1"/>
  <c r="K6" i="39"/>
  <c r="K32" i="43"/>
  <c r="K35" i="43" s="1"/>
  <c r="K48" i="43"/>
  <c r="K49" i="43" s="1"/>
  <c r="DT22" i="58"/>
  <c r="DT40" i="58" s="1"/>
  <c r="L3" i="39"/>
  <c r="L8" i="43"/>
  <c r="L5" i="62" s="1"/>
  <c r="DT16" i="58"/>
  <c r="DT20" i="58" s="1"/>
  <c r="EV25" i="58"/>
  <c r="EV43" i="58" s="1"/>
  <c r="DL16" i="58"/>
  <c r="DL20" i="58" s="1"/>
  <c r="DF16" i="58"/>
  <c r="DF20" i="58" s="1"/>
  <c r="L15" i="43"/>
  <c r="L14" i="43" s="1"/>
  <c r="L21" i="43" s="1"/>
  <c r="DP16" i="58"/>
  <c r="DP20" i="58" s="1"/>
  <c r="U3" i="58"/>
  <c r="U28" i="58" s="1"/>
  <c r="U32" i="58" s="1"/>
  <c r="U33" i="58" s="1"/>
  <c r="DL22" i="58" l="1"/>
  <c r="DL40" i="58" s="1"/>
  <c r="AP31" i="58"/>
  <c r="AQ6" i="58" s="1"/>
  <c r="AO29" i="58"/>
  <c r="AP4" i="58" s="1"/>
  <c r="AO30" i="58"/>
  <c r="AP5" i="58" s="1"/>
  <c r="O6" i="43"/>
  <c r="O16" i="43"/>
  <c r="EL17" i="58"/>
  <c r="ER23" i="58" s="1"/>
  <c r="ER41" i="58" s="1"/>
  <c r="DR16" i="58"/>
  <c r="DR20" i="58" s="1"/>
  <c r="DS20" i="58"/>
  <c r="DY22" i="58"/>
  <c r="DY40" i="58" s="1"/>
  <c r="DO26" i="58"/>
  <c r="DV16" i="58"/>
  <c r="DZ16" i="58"/>
  <c r="DZ20" i="58" s="1"/>
  <c r="DW26" i="58"/>
  <c r="DV22" i="58"/>
  <c r="DV40" i="58" s="1"/>
  <c r="DZ22" i="58"/>
  <c r="DZ40" i="58" s="1"/>
  <c r="FB19" i="58"/>
  <c r="FH25" i="58" s="1"/>
  <c r="FH43" i="58" s="1"/>
  <c r="DR22" i="58"/>
  <c r="DR40" i="58" s="1"/>
  <c r="DL26" i="58"/>
  <c r="EY18" i="58"/>
  <c r="FE24" i="58" s="1"/>
  <c r="FE42" i="58" s="1"/>
  <c r="FE17" i="58"/>
  <c r="FK23" i="58" s="1"/>
  <c r="FK41" i="58" s="1"/>
  <c r="L4" i="39"/>
  <c r="L5" i="39" s="1"/>
  <c r="L19" i="43"/>
  <c r="L42" i="43"/>
  <c r="DT26" i="58"/>
  <c r="FB18" i="58"/>
  <c r="FH24" i="58" s="1"/>
  <c r="FH42" i="58" s="1"/>
  <c r="K36" i="43"/>
  <c r="K8" i="39"/>
  <c r="L41" i="43"/>
  <c r="L27" i="43"/>
  <c r="L46" i="43"/>
  <c r="L47" i="43" s="1"/>
  <c r="U7" i="58"/>
  <c r="U8" i="58" s="1"/>
  <c r="AP30" i="58" l="1"/>
  <c r="AQ5" i="58" s="1"/>
  <c r="AP29" i="58"/>
  <c r="AQ4" i="58" s="1"/>
  <c r="AQ31" i="58"/>
  <c r="AR6" i="58" s="1"/>
  <c r="DZ26" i="58"/>
  <c r="DX22" i="58"/>
  <c r="DX40" i="58" s="1"/>
  <c r="P17" i="43"/>
  <c r="EV18" i="58"/>
  <c r="FB24" i="58" s="1"/>
  <c r="FB42" i="58" s="1"/>
  <c r="P5" i="43"/>
  <c r="DV26" i="58"/>
  <c r="DY26" i="58"/>
  <c r="M4" i="43"/>
  <c r="M3" i="43" s="1"/>
  <c r="DR26" i="58"/>
  <c r="DV20" i="58"/>
  <c r="EB22" i="58"/>
  <c r="EB40" i="58" s="1"/>
  <c r="EF22" i="58"/>
  <c r="EF40" i="58" s="1"/>
  <c r="L3" i="62"/>
  <c r="L7" i="62" s="1"/>
  <c r="L8" i="62" s="1"/>
  <c r="L30" i="43" s="1"/>
  <c r="EB16" i="58"/>
  <c r="EB20" i="58" s="1"/>
  <c r="L29" i="43"/>
  <c r="EC16" i="58"/>
  <c r="EC20" i="58" s="1"/>
  <c r="DW16" i="58"/>
  <c r="DW20" i="58" s="1"/>
  <c r="DU16" i="58"/>
  <c r="DU20" i="58" s="1"/>
  <c r="FE18" i="58"/>
  <c r="FK24" i="58" s="1"/>
  <c r="FK42" i="58" s="1"/>
  <c r="DO16" i="58"/>
  <c r="DO20" i="58" s="1"/>
  <c r="M15" i="43"/>
  <c r="M14" i="43" s="1"/>
  <c r="K9" i="39"/>
  <c r="K43" i="43"/>
  <c r="K44" i="43" s="1"/>
  <c r="K37" i="43"/>
  <c r="DY16" i="58"/>
  <c r="DY20" i="58" s="1"/>
  <c r="P18" i="43"/>
  <c r="EY19" i="58"/>
  <c r="V3" i="58"/>
  <c r="V28" i="58" s="1"/>
  <c r="V32" i="58" s="1"/>
  <c r="V33" i="58" s="1"/>
  <c r="AR31" i="58" l="1"/>
  <c r="AS6" i="58" s="1"/>
  <c r="AS31" i="58" s="1"/>
  <c r="AT6" i="58" s="1"/>
  <c r="AT31" i="58" s="1"/>
  <c r="AU6" i="58" s="1"/>
  <c r="AQ30" i="58"/>
  <c r="AR5" i="58" s="1"/>
  <c r="AR30" i="58" s="1"/>
  <c r="AS5" i="58" s="1"/>
  <c r="AQ29" i="58"/>
  <c r="AR4" i="58" s="1"/>
  <c r="DX26" i="58"/>
  <c r="P6" i="43"/>
  <c r="EH22" i="58"/>
  <c r="EH40" i="58" s="1"/>
  <c r="EX17" i="58"/>
  <c r="FD23" i="58" s="1"/>
  <c r="FD41" i="58" s="1"/>
  <c r="P16" i="43"/>
  <c r="EE16" i="58"/>
  <c r="EF26" i="58"/>
  <c r="L31" i="43"/>
  <c r="L32" i="43" s="1"/>
  <c r="L35" i="43" s="1"/>
  <c r="EB26" i="58"/>
  <c r="EA22" i="58"/>
  <c r="EA40" i="58" s="1"/>
  <c r="FN19" i="58"/>
  <c r="M3" i="39"/>
  <c r="M8" i="43"/>
  <c r="M5" i="62" s="1"/>
  <c r="M46" i="43"/>
  <c r="M47" i="43" s="1"/>
  <c r="FE25" i="58"/>
  <c r="FE43" i="58" s="1"/>
  <c r="K45" i="43"/>
  <c r="K38" i="43"/>
  <c r="K10" i="39"/>
  <c r="K13" i="39" s="1"/>
  <c r="K5" i="38"/>
  <c r="K7" i="38" s="1"/>
  <c r="K21" i="38" s="1"/>
  <c r="K22" i="38" s="1"/>
  <c r="L20" i="38" s="1"/>
  <c r="EC22" i="58"/>
  <c r="EC40" i="58" s="1"/>
  <c r="EI22" i="58"/>
  <c r="EI40" i="58" s="1"/>
  <c r="FN17" i="58"/>
  <c r="EE22" i="58"/>
  <c r="EE40" i="58" s="1"/>
  <c r="DU22" i="58"/>
  <c r="DU40" i="58" s="1"/>
  <c r="FH18" i="58"/>
  <c r="FN24" i="58" s="1"/>
  <c r="FN42" i="58" s="1"/>
  <c r="M21" i="43"/>
  <c r="M19" i="43"/>
  <c r="M42" i="43"/>
  <c r="M4" i="39"/>
  <c r="Q6" i="43"/>
  <c r="FK18" i="58"/>
  <c r="V7" i="58"/>
  <c r="V8" i="58" s="1"/>
  <c r="EH26" i="58" l="1"/>
  <c r="AR29" i="58"/>
  <c r="AS4" i="58" s="1"/>
  <c r="AU31" i="58"/>
  <c r="AV6" i="58" s="1"/>
  <c r="AS30" i="58"/>
  <c r="AT5" i="58" s="1"/>
  <c r="R6" i="43"/>
  <c r="Q5" i="43"/>
  <c r="R5" i="43" s="1"/>
  <c r="L6" i="39"/>
  <c r="L48" i="43"/>
  <c r="L49" i="43" s="1"/>
  <c r="EE20" i="58"/>
  <c r="EK22" i="58"/>
  <c r="EK40" i="58" s="1"/>
  <c r="EA26" i="58"/>
  <c r="M5" i="39"/>
  <c r="EA16" i="58"/>
  <c r="EI16" i="58"/>
  <c r="EI20" i="58" s="1"/>
  <c r="FK19" i="58"/>
  <c r="EK16" i="58"/>
  <c r="EN16" i="58"/>
  <c r="EN20" i="58" s="1"/>
  <c r="K16" i="39"/>
  <c r="K18" i="39"/>
  <c r="K15" i="39"/>
  <c r="EE26" i="58"/>
  <c r="ED16" i="58"/>
  <c r="ED20" i="58" s="1"/>
  <c r="L36" i="43"/>
  <c r="L8" i="39"/>
  <c r="Q17" i="43"/>
  <c r="R17" i="43" s="1"/>
  <c r="DU26" i="58"/>
  <c r="FN18" i="58"/>
  <c r="M41" i="43"/>
  <c r="M27" i="43"/>
  <c r="M29" i="43" s="1"/>
  <c r="EI26" i="58"/>
  <c r="EC26" i="58"/>
  <c r="W3" i="58"/>
  <c r="W28" i="58" s="1"/>
  <c r="W32" i="58" s="1"/>
  <c r="W33" i="58" s="1"/>
  <c r="AT30" i="58" l="1"/>
  <c r="AU5" i="58" s="1"/>
  <c r="AS29" i="58"/>
  <c r="AT4" i="58" s="1"/>
  <c r="AT29" i="58" s="1"/>
  <c r="AU4" i="58" s="1"/>
  <c r="AV31" i="58"/>
  <c r="AW6" i="58" s="1"/>
  <c r="ET22" i="58"/>
  <c r="Q16" i="43"/>
  <c r="R16" i="43" s="1"/>
  <c r="FJ17" i="58"/>
  <c r="EK26" i="58"/>
  <c r="EO22" i="58"/>
  <c r="EO40" i="58" s="1"/>
  <c r="EK20" i="58"/>
  <c r="EQ22" i="58"/>
  <c r="EQ40" i="58" s="1"/>
  <c r="EA20" i="58"/>
  <c r="EG22" i="58"/>
  <c r="EG40" i="58" s="1"/>
  <c r="L37" i="43"/>
  <c r="L9" i="39"/>
  <c r="L43" i="43"/>
  <c r="L44" i="43" s="1"/>
  <c r="EH16" i="58"/>
  <c r="EH20" i="58" s="1"/>
  <c r="P7" i="43"/>
  <c r="DX16" i="58"/>
  <c r="DX20" i="58" s="1"/>
  <c r="EJ22" i="58"/>
  <c r="EJ40" i="58" s="1"/>
  <c r="M3" i="62"/>
  <c r="M7" i="62" s="1"/>
  <c r="M8" i="62" s="1"/>
  <c r="M30" i="43" s="1"/>
  <c r="M31" i="43" s="1"/>
  <c r="EF16" i="58"/>
  <c r="EF20" i="58" s="1"/>
  <c r="FH19" i="58"/>
  <c r="FN25" i="58" s="1"/>
  <c r="Q18" i="43"/>
  <c r="R18" i="43" s="1"/>
  <c r="EL16" i="58"/>
  <c r="EL20" i="58" s="1"/>
  <c r="W7" i="58"/>
  <c r="W8" i="58" s="1"/>
  <c r="ET26" i="58" l="1"/>
  <c r="ET40" i="58"/>
  <c r="Q7" i="43"/>
  <c r="R7" i="43" s="1"/>
  <c r="FN43" i="58"/>
  <c r="AW31" i="58"/>
  <c r="AX6" i="58" s="1"/>
  <c r="AU30" i="58"/>
  <c r="AV5" i="58" s="1"/>
  <c r="AU29" i="58"/>
  <c r="AV4" i="58" s="1"/>
  <c r="EL22" i="58"/>
  <c r="EL40" i="58" s="1"/>
  <c r="EG26" i="58"/>
  <c r="ER16" i="58"/>
  <c r="ER20" i="58" s="1"/>
  <c r="EQ26" i="58"/>
  <c r="EO26" i="58"/>
  <c r="EJ26" i="58"/>
  <c r="EL26" i="58"/>
  <c r="M32" i="43"/>
  <c r="M35" i="43" s="1"/>
  <c r="M6" i="39"/>
  <c r="M48" i="43"/>
  <c r="M49" i="43" s="1"/>
  <c r="N15" i="43"/>
  <c r="N14" i="43" s="1"/>
  <c r="ER22" i="58"/>
  <c r="ER40" i="58" s="1"/>
  <c r="ED22" i="58"/>
  <c r="ED40" i="58" s="1"/>
  <c r="EN22" i="58"/>
  <c r="EN40" i="58" s="1"/>
  <c r="L5" i="38"/>
  <c r="L7" i="38" s="1"/>
  <c r="L21" i="38" s="1"/>
  <c r="L22" i="38" s="1"/>
  <c r="M20" i="38" s="1"/>
  <c r="L10" i="39"/>
  <c r="L13" i="39" s="1"/>
  <c r="L38" i="43"/>
  <c r="L45" i="43"/>
  <c r="X3" i="58"/>
  <c r="X28" i="58" s="1"/>
  <c r="X32" i="58" s="1"/>
  <c r="X33" i="58" s="1"/>
  <c r="AV30" i="58" l="1"/>
  <c r="AW5" i="58" s="1"/>
  <c r="AX31" i="58"/>
  <c r="AY6" i="58" s="1"/>
  <c r="AV29" i="58"/>
  <c r="AW4" i="58" s="1"/>
  <c r="EX22" i="58"/>
  <c r="EX40" i="58" s="1"/>
  <c r="EW16" i="58"/>
  <c r="EW20" i="58" s="1"/>
  <c r="EJ16" i="58"/>
  <c r="EJ20" i="58" s="1"/>
  <c r="ET16" i="58"/>
  <c r="ET20" i="58" s="1"/>
  <c r="M36" i="43"/>
  <c r="M37" i="43" s="1"/>
  <c r="M8" i="39"/>
  <c r="EM16" i="58"/>
  <c r="EM20" i="58" s="1"/>
  <c r="N19" i="43"/>
  <c r="N4" i="39"/>
  <c r="EO16" i="58"/>
  <c r="EO20" i="58" s="1"/>
  <c r="ED26" i="58"/>
  <c r="N4" i="43"/>
  <c r="N3" i="43" s="1"/>
  <c r="ER26" i="58"/>
  <c r="L18" i="39"/>
  <c r="L15" i="39"/>
  <c r="L16" i="39"/>
  <c r="EN26" i="58"/>
  <c r="X7" i="58"/>
  <c r="X8" i="58" s="1"/>
  <c r="EX26" i="58" l="1"/>
  <c r="AY31" i="58"/>
  <c r="AZ6" i="58" s="1"/>
  <c r="AW29" i="58"/>
  <c r="AX4" i="58" s="1"/>
  <c r="AW30" i="58"/>
  <c r="AX5" i="58" s="1"/>
  <c r="AX30" i="58" s="1"/>
  <c r="AY5" i="58" s="1"/>
  <c r="FC22" i="58"/>
  <c r="EP22" i="58"/>
  <c r="EP40" i="58" s="1"/>
  <c r="ES22" i="58"/>
  <c r="ES40" i="58" s="1"/>
  <c r="EZ22" i="58"/>
  <c r="EZ40" i="58" s="1"/>
  <c r="EU22" i="58"/>
  <c r="EU40" i="58" s="1"/>
  <c r="EG16" i="58"/>
  <c r="EG20" i="58" s="1"/>
  <c r="N8" i="43"/>
  <c r="N5" i="62" s="1"/>
  <c r="N3" i="39"/>
  <c r="N5" i="39" s="1"/>
  <c r="N21" i="43"/>
  <c r="N46" i="43"/>
  <c r="N47" i="43" s="1"/>
  <c r="EQ16" i="58"/>
  <c r="EQ20" i="58" s="1"/>
  <c r="EU16" i="58"/>
  <c r="EU20" i="58" s="1"/>
  <c r="M10" i="39"/>
  <c r="M13" i="39" s="1"/>
  <c r="M16" i="39" s="1"/>
  <c r="M45" i="43"/>
  <c r="M5" i="38"/>
  <c r="M7" i="38" s="1"/>
  <c r="M21" i="38" s="1"/>
  <c r="M22" i="38" s="1"/>
  <c r="N20" i="38" s="1"/>
  <c r="N42" i="43"/>
  <c r="M38" i="43"/>
  <c r="M9" i="39"/>
  <c r="M43" i="43"/>
  <c r="M44" i="43" s="1"/>
  <c r="Y3" i="58"/>
  <c r="Y28" i="58" s="1"/>
  <c r="Y32" i="58" s="1"/>
  <c r="Y33" i="58" s="1"/>
  <c r="FC26" i="58" l="1"/>
  <c r="FC40" i="58"/>
  <c r="AY30" i="58"/>
  <c r="AZ5" i="58" s="1"/>
  <c r="AX29" i="58"/>
  <c r="AY4" i="58" s="1"/>
  <c r="AZ31" i="58"/>
  <c r="BA6" i="58" s="1"/>
  <c r="EM22" i="58"/>
  <c r="EP26" i="58"/>
  <c r="FA16" i="58"/>
  <c r="FA20" i="58" s="1"/>
  <c r="EZ26" i="58"/>
  <c r="ES26" i="58"/>
  <c r="N41" i="43"/>
  <c r="N27" i="43"/>
  <c r="M15" i="39"/>
  <c r="M18" i="39"/>
  <c r="EV16" i="58"/>
  <c r="EV20" i="58" s="1"/>
  <c r="FA22" i="58"/>
  <c r="FA40" i="58" s="1"/>
  <c r="EW22" i="58"/>
  <c r="EW40" i="58" s="1"/>
  <c r="EU26" i="58"/>
  <c r="Y7" i="58"/>
  <c r="Y8" i="58" s="1"/>
  <c r="ES16" i="58" l="1"/>
  <c r="ES20" i="58" s="1"/>
  <c r="EM40" i="58"/>
  <c r="O4" i="43" s="1"/>
  <c r="O3" i="43" s="1"/>
  <c r="FG22" i="58"/>
  <c r="FG40" i="58" s="1"/>
  <c r="BA31" i="58"/>
  <c r="BB6" i="58" s="1"/>
  <c r="AY29" i="58"/>
  <c r="AZ4" i="58" s="1"/>
  <c r="AZ29" i="58" s="1"/>
  <c r="BA4" i="58" s="1"/>
  <c r="AZ30" i="58"/>
  <c r="BA5" i="58" s="1"/>
  <c r="EM26" i="58"/>
  <c r="FF16" i="58"/>
  <c r="FF20" i="58" s="1"/>
  <c r="FB22" i="58"/>
  <c r="FB40" i="58" s="1"/>
  <c r="EY22" i="58"/>
  <c r="EY40" i="58" s="1"/>
  <c r="FC16" i="58"/>
  <c r="FC20" i="58" s="1"/>
  <c r="EX16" i="58"/>
  <c r="EX20" i="58" s="1"/>
  <c r="N29" i="43"/>
  <c r="N3" i="62"/>
  <c r="N7" i="62" s="1"/>
  <c r="N8" i="62" s="1"/>
  <c r="N30" i="43" s="1"/>
  <c r="EW26" i="58"/>
  <c r="FA26" i="58"/>
  <c r="O15" i="43"/>
  <c r="O14" i="43" s="1"/>
  <c r="EP16" i="58"/>
  <c r="EP20" i="58" s="1"/>
  <c r="Z3" i="58"/>
  <c r="Z28" i="58" s="1"/>
  <c r="Z32" i="58" s="1"/>
  <c r="Z33" i="58" s="1"/>
  <c r="FG26" i="58" l="1"/>
  <c r="N31" i="43"/>
  <c r="N6" i="39" s="1"/>
  <c r="BA30" i="58"/>
  <c r="BB5" i="58" s="1"/>
  <c r="BA29" i="58"/>
  <c r="BB4" i="58" s="1"/>
  <c r="BB31" i="58"/>
  <c r="BC6" i="58" s="1"/>
  <c r="FL22" i="58"/>
  <c r="FL40" i="58" s="1"/>
  <c r="FB26" i="58"/>
  <c r="EV22" i="58"/>
  <c r="EV40" i="58" s="1"/>
  <c r="FI22" i="58"/>
  <c r="FI40" i="58" s="1"/>
  <c r="EY26" i="58"/>
  <c r="EZ16" i="58"/>
  <c r="EZ20" i="58" s="1"/>
  <c r="FD22" i="58"/>
  <c r="FD40" i="58" s="1"/>
  <c r="O46" i="43"/>
  <c r="O47" i="43" s="1"/>
  <c r="O42" i="43"/>
  <c r="O4" i="39"/>
  <c r="O19" i="43"/>
  <c r="FD16" i="58"/>
  <c r="FD20" i="58" s="1"/>
  <c r="O3" i="39"/>
  <c r="O8" i="43"/>
  <c r="O5" i="62" s="1"/>
  <c r="O21" i="43"/>
  <c r="Z7" i="58"/>
  <c r="Z8" i="58" s="1"/>
  <c r="N48" i="43" l="1"/>
  <c r="N49" i="43" s="1"/>
  <c r="N32" i="43"/>
  <c r="N35" i="43" s="1"/>
  <c r="N8" i="39" s="1"/>
  <c r="BC31" i="58"/>
  <c r="BD6" i="58" s="1"/>
  <c r="BB29" i="58"/>
  <c r="BC4" i="58" s="1"/>
  <c r="BB30" i="58"/>
  <c r="BC5" i="58" s="1"/>
  <c r="FL26" i="58"/>
  <c r="EV26" i="58"/>
  <c r="FJ22" i="58"/>
  <c r="FJ40" i="58" s="1"/>
  <c r="P4" i="43"/>
  <c r="P3" i="43" s="1"/>
  <c r="FJ16" i="58"/>
  <c r="FJ20" i="58" s="1"/>
  <c r="FI26" i="58"/>
  <c r="FF22" i="58"/>
  <c r="FF40" i="58" s="1"/>
  <c r="FE16" i="58"/>
  <c r="FE20" i="58" s="1"/>
  <c r="FB16" i="58"/>
  <c r="FB20" i="58" s="1"/>
  <c r="O5" i="39"/>
  <c r="O41" i="43"/>
  <c r="O27" i="43"/>
  <c r="FD26" i="58"/>
  <c r="P15" i="43"/>
  <c r="EY16" i="58"/>
  <c r="EY20" i="58" s="1"/>
  <c r="AA3" i="58"/>
  <c r="AA28" i="58" s="1"/>
  <c r="AA32" i="58" s="1"/>
  <c r="AA33" i="58" s="1"/>
  <c r="N36" i="43" l="1"/>
  <c r="N9" i="39" s="1"/>
  <c r="BC29" i="58"/>
  <c r="BD4" i="58" s="1"/>
  <c r="BC30" i="58"/>
  <c r="BD5" i="58" s="1"/>
  <c r="BD30" i="58" s="1"/>
  <c r="BE5" i="58" s="1"/>
  <c r="BD31" i="58"/>
  <c r="BE6" i="58" s="1"/>
  <c r="BE31" i="58" s="1"/>
  <c r="BF6" i="58" s="1"/>
  <c r="BF31" i="58" s="1"/>
  <c r="BG6" i="58" s="1"/>
  <c r="FJ26" i="58"/>
  <c r="FO16" i="58"/>
  <c r="FO20" i="58" s="1"/>
  <c r="FF26" i="58"/>
  <c r="FK22" i="58"/>
  <c r="FK40" i="58" s="1"/>
  <c r="FL16" i="58"/>
  <c r="FL20" i="58" s="1"/>
  <c r="FH22" i="58"/>
  <c r="FH40" i="58" s="1"/>
  <c r="O29" i="43"/>
  <c r="P14" i="43"/>
  <c r="P21" i="43" s="1"/>
  <c r="P3" i="39"/>
  <c r="P8" i="43"/>
  <c r="FM16" i="58"/>
  <c r="FM20" i="58" s="1"/>
  <c r="FE22" i="58"/>
  <c r="FE40" i="58" s="1"/>
  <c r="FI16" i="58"/>
  <c r="FI20" i="58" s="1"/>
  <c r="FG16" i="58"/>
  <c r="FG20" i="58" s="1"/>
  <c r="O3" i="62"/>
  <c r="O7" i="62" s="1"/>
  <c r="O8" i="62" s="1"/>
  <c r="O30" i="43" s="1"/>
  <c r="AA7" i="58"/>
  <c r="AA8" i="58" s="1"/>
  <c r="N37" i="43" l="1"/>
  <c r="N38" i="43" s="1"/>
  <c r="N43" i="43"/>
  <c r="N44" i="43" s="1"/>
  <c r="BG31" i="58"/>
  <c r="BH6" i="58" s="1"/>
  <c r="BE30" i="58"/>
  <c r="BF5" i="58" s="1"/>
  <c r="BD29" i="58"/>
  <c r="BE4" i="58" s="1"/>
  <c r="O31" i="43"/>
  <c r="O48" i="43" s="1"/>
  <c r="O49" i="43" s="1"/>
  <c r="FM22" i="58"/>
  <c r="FH26" i="58"/>
  <c r="FK16" i="58"/>
  <c r="FK20" i="58" s="1"/>
  <c r="FK26" i="58"/>
  <c r="FE26" i="58"/>
  <c r="P46" i="43"/>
  <c r="P47" i="43" s="1"/>
  <c r="P4" i="39"/>
  <c r="P5" i="39" s="1"/>
  <c r="P19" i="43"/>
  <c r="P42" i="43"/>
  <c r="P41" i="43"/>
  <c r="P27" i="43"/>
  <c r="P5" i="62"/>
  <c r="FO22" i="58"/>
  <c r="FO40" i="58" s="1"/>
  <c r="AB3" i="58"/>
  <c r="AB28" i="58" s="1"/>
  <c r="AB32" i="58" s="1"/>
  <c r="AB33" i="58" s="1"/>
  <c r="FM26" i="58" l="1"/>
  <c r="FM40" i="58"/>
  <c r="N10" i="39"/>
  <c r="N13" i="39" s="1"/>
  <c r="N15" i="39" s="1"/>
  <c r="N5" i="38"/>
  <c r="N7" i="38" s="1"/>
  <c r="N21" i="38" s="1"/>
  <c r="N22" i="38" s="1"/>
  <c r="O20" i="38" s="1"/>
  <c r="N45" i="43"/>
  <c r="BE29" i="58"/>
  <c r="BF4" i="58" s="1"/>
  <c r="BF29" i="58" s="1"/>
  <c r="BG4" i="58" s="1"/>
  <c r="BH31" i="58"/>
  <c r="BI6" i="58" s="1"/>
  <c r="BF30" i="58"/>
  <c r="BG5" i="58" s="1"/>
  <c r="O32" i="43"/>
  <c r="O35" i="43" s="1"/>
  <c r="O8" i="39" s="1"/>
  <c r="O6" i="39"/>
  <c r="FN16" i="58"/>
  <c r="FN20" i="58" s="1"/>
  <c r="P29" i="43"/>
  <c r="FH16" i="58"/>
  <c r="FH20" i="58" s="1"/>
  <c r="FO26" i="58"/>
  <c r="P3" i="62"/>
  <c r="AB7" i="58"/>
  <c r="AB8" i="58" s="1"/>
  <c r="N16" i="39" l="1"/>
  <c r="N18" i="39"/>
  <c r="BI31" i="58"/>
  <c r="BJ6" i="58" s="1"/>
  <c r="BG29" i="58"/>
  <c r="BH4" i="58" s="1"/>
  <c r="BG30" i="58"/>
  <c r="BH5" i="58" s="1"/>
  <c r="Q15" i="43"/>
  <c r="Q14" i="43" s="1"/>
  <c r="O36" i="43"/>
  <c r="O37" i="43" s="1"/>
  <c r="O45" i="43" s="1"/>
  <c r="FN22" i="58"/>
  <c r="P7" i="62"/>
  <c r="AC3" i="58"/>
  <c r="AC28" i="58" s="1"/>
  <c r="AC32" i="58" s="1"/>
  <c r="AC33" i="58" s="1"/>
  <c r="Q4" i="43" l="1"/>
  <c r="Q3" i="43" s="1"/>
  <c r="Q46" i="43" s="1"/>
  <c r="Q47" i="43" s="1"/>
  <c r="FN40" i="58"/>
  <c r="BH30" i="58"/>
  <c r="BI5" i="58" s="1"/>
  <c r="BJ31" i="58"/>
  <c r="BK6" i="58" s="1"/>
  <c r="BH29" i="58"/>
  <c r="BI4" i="58" s="1"/>
  <c r="O10" i="39"/>
  <c r="O13" i="39" s="1"/>
  <c r="O16" i="39" s="1"/>
  <c r="R15" i="43"/>
  <c r="O38" i="43"/>
  <c r="O43" i="43"/>
  <c r="O44" i="43" s="1"/>
  <c r="O5" i="38"/>
  <c r="O7" i="38" s="1"/>
  <c r="O21" i="38" s="1"/>
  <c r="O22" i="38" s="1"/>
  <c r="P20" i="38" s="1"/>
  <c r="O9" i="39"/>
  <c r="FN26" i="58"/>
  <c r="P8" i="62"/>
  <c r="Q4" i="39"/>
  <c r="Q19" i="43"/>
  <c r="R14" i="43"/>
  <c r="AC7" i="58"/>
  <c r="AC8" i="58" s="1"/>
  <c r="R4" i="43" l="1"/>
  <c r="O15" i="39"/>
  <c r="O18" i="39"/>
  <c r="BK31" i="58"/>
  <c r="BL6" i="58" s="1"/>
  <c r="BI29" i="58"/>
  <c r="BJ4" i="58" s="1"/>
  <c r="BI30" i="58"/>
  <c r="BJ5" i="58" s="1"/>
  <c r="BJ30" i="58" s="1"/>
  <c r="BK5" i="58" s="1"/>
  <c r="Q42" i="43"/>
  <c r="Q8" i="43"/>
  <c r="Q3" i="39"/>
  <c r="Q5" i="39" s="1"/>
  <c r="Q21" i="43"/>
  <c r="R3" i="43"/>
  <c r="R42" i="43" s="1"/>
  <c r="T14" i="43"/>
  <c r="R19" i="43"/>
  <c r="P30" i="43"/>
  <c r="AD3" i="58"/>
  <c r="AD28" i="58" s="1"/>
  <c r="AD32" i="58" s="1"/>
  <c r="AD33" i="58" s="1"/>
  <c r="BK30" i="58" l="1"/>
  <c r="BL5" i="58" s="1"/>
  <c r="BJ29" i="58"/>
  <c r="BK4" i="58" s="1"/>
  <c r="BL31" i="58"/>
  <c r="BM6" i="58" s="1"/>
  <c r="R46" i="43"/>
  <c r="R47" i="43" s="1"/>
  <c r="P31" i="43"/>
  <c r="Q41" i="43"/>
  <c r="Q27" i="43"/>
  <c r="R21" i="43"/>
  <c r="R41" i="43" s="1"/>
  <c r="Q5" i="62"/>
  <c r="R5" i="62" s="1"/>
  <c r="R8" i="43"/>
  <c r="AD7" i="58"/>
  <c r="AD8" i="58" s="1"/>
  <c r="BK29" i="58" l="1"/>
  <c r="BL4" i="58" s="1"/>
  <c r="BL29" i="58" s="1"/>
  <c r="BM4" i="58" s="1"/>
  <c r="BM31" i="58"/>
  <c r="BN6" i="58" s="1"/>
  <c r="BL30" i="58"/>
  <c r="BM5" i="58" s="1"/>
  <c r="Q29" i="43"/>
  <c r="R29" i="43" s="1"/>
  <c r="T29" i="43" s="1"/>
  <c r="R27" i="43"/>
  <c r="T27" i="43" s="1"/>
  <c r="Q3" i="62"/>
  <c r="P6" i="39"/>
  <c r="P48" i="43"/>
  <c r="P49" i="43" s="1"/>
  <c r="P32" i="43"/>
  <c r="AE3" i="58"/>
  <c r="AE28" i="58" s="1"/>
  <c r="AE32" i="58" s="1"/>
  <c r="AE33" i="58" s="1"/>
  <c r="BN31" i="58" l="1"/>
  <c r="BO6" i="58" s="1"/>
  <c r="BM30" i="58"/>
  <c r="BN5" i="58" s="1"/>
  <c r="BM29" i="58"/>
  <c r="BN4" i="58" s="1"/>
  <c r="R3" i="62"/>
  <c r="Q7" i="62"/>
  <c r="Q8" i="62" s="1"/>
  <c r="P35" i="43"/>
  <c r="AE7" i="58"/>
  <c r="AE8" i="58" s="1"/>
  <c r="BN29" i="58" l="1"/>
  <c r="BO4" i="58" s="1"/>
  <c r="BN30" i="58"/>
  <c r="BO5" i="58" s="1"/>
  <c r="BO31" i="58"/>
  <c r="BP6" i="58" s="1"/>
  <c r="P8" i="39"/>
  <c r="P36" i="43"/>
  <c r="Q30" i="43"/>
  <c r="R8" i="62"/>
  <c r="AF3" i="58"/>
  <c r="AF28" i="58" s="1"/>
  <c r="AF32" i="58" s="1"/>
  <c r="AF33" i="58" s="1"/>
  <c r="BP31" i="58" l="1"/>
  <c r="BQ6" i="58" s="1"/>
  <c r="BQ31" i="58" s="1"/>
  <c r="BR6" i="58" s="1"/>
  <c r="BR31" i="58" s="1"/>
  <c r="BS6" i="58" s="1"/>
  <c r="BO30" i="58"/>
  <c r="BP5" i="58" s="1"/>
  <c r="BP30" i="58" s="1"/>
  <c r="BQ5" i="58" s="1"/>
  <c r="BO29" i="58"/>
  <c r="BP4" i="58" s="1"/>
  <c r="P37" i="43"/>
  <c r="P9" i="39"/>
  <c r="P43" i="43"/>
  <c r="P44" i="43" s="1"/>
  <c r="R30" i="43"/>
  <c r="T30" i="43" s="1"/>
  <c r="Q31" i="43"/>
  <c r="AF7" i="58"/>
  <c r="AF8" i="58" s="1"/>
  <c r="BQ30" i="58" l="1"/>
  <c r="BR5" i="58" s="1"/>
  <c r="BP29" i="58"/>
  <c r="BQ4" i="58" s="1"/>
  <c r="BS31" i="58"/>
  <c r="BT6" i="58" s="1"/>
  <c r="Q48" i="43"/>
  <c r="Q49" i="43" s="1"/>
  <c r="Q6" i="39"/>
  <c r="Q32" i="43"/>
  <c r="R31" i="43"/>
  <c r="P5" i="38"/>
  <c r="P7" i="38" s="1"/>
  <c r="P21" i="38" s="1"/>
  <c r="P22" i="38" s="1"/>
  <c r="Q20" i="38" s="1"/>
  <c r="P10" i="39"/>
  <c r="P13" i="39" s="1"/>
  <c r="P45" i="43"/>
  <c r="P38" i="43"/>
  <c r="AG3" i="58"/>
  <c r="AG28" i="58" s="1"/>
  <c r="AG32" i="58" s="1"/>
  <c r="AG33" i="58" s="1"/>
  <c r="BT31" i="58" l="1"/>
  <c r="BU6" i="58" s="1"/>
  <c r="BQ29" i="58"/>
  <c r="BR4" i="58" s="1"/>
  <c r="BR29" i="58" s="1"/>
  <c r="BS4" i="58" s="1"/>
  <c r="BR30" i="58"/>
  <c r="BS5" i="58" s="1"/>
  <c r="Q35" i="43"/>
  <c r="R32" i="43"/>
  <c r="P16" i="39"/>
  <c r="P15" i="39"/>
  <c r="P18" i="39"/>
  <c r="R48" i="43"/>
  <c r="R49" i="43" s="1"/>
  <c r="B47" i="54"/>
  <c r="AG7" i="58"/>
  <c r="AG8" i="58" s="1"/>
  <c r="BS30" i="58" l="1"/>
  <c r="BT5" i="58" s="1"/>
  <c r="BS29" i="58"/>
  <c r="BT4" i="58" s="1"/>
  <c r="BU31" i="58"/>
  <c r="BV6" i="58" s="1"/>
  <c r="Q36" i="43"/>
  <c r="Q8" i="39"/>
  <c r="R35" i="43"/>
  <c r="AH3" i="58"/>
  <c r="AH28" i="58" s="1"/>
  <c r="AH32" i="58" s="1"/>
  <c r="AH33" i="58" s="1"/>
  <c r="BT29" i="58" l="1"/>
  <c r="BU4" i="58" s="1"/>
  <c r="BV31" i="58"/>
  <c r="BW6" i="58" s="1"/>
  <c r="BT30" i="58"/>
  <c r="BU5" i="58" s="1"/>
  <c r="Q37" i="43"/>
  <c r="Q9" i="39"/>
  <c r="R36" i="43"/>
  <c r="Q43" i="43"/>
  <c r="Q44" i="43" s="1"/>
  <c r="AH7" i="58"/>
  <c r="AH8" i="58" s="1"/>
  <c r="BU30" i="58" l="1"/>
  <c r="BV5" i="58" s="1"/>
  <c r="BW31" i="58"/>
  <c r="BX6" i="58" s="1"/>
  <c r="BU29" i="58"/>
  <c r="BV4" i="58" s="1"/>
  <c r="T36" i="43"/>
  <c r="B48" i="54"/>
  <c r="B49" i="54" s="1"/>
  <c r="R43" i="43"/>
  <c r="R44" i="43" s="1"/>
  <c r="Q5" i="38"/>
  <c r="Q7" i="38" s="1"/>
  <c r="Q21" i="38" s="1"/>
  <c r="Q22" i="38" s="1"/>
  <c r="Q10" i="39"/>
  <c r="Q13" i="39" s="1"/>
  <c r="Q45" i="43"/>
  <c r="R37" i="43"/>
  <c r="Q38" i="43"/>
  <c r="AI3" i="58"/>
  <c r="AI28" i="58" s="1"/>
  <c r="AI32" i="58" s="1"/>
  <c r="AI33" i="58" s="1"/>
  <c r="BV29" i="58" l="1"/>
  <c r="BW4" i="58" s="1"/>
  <c r="BX31" i="58"/>
  <c r="BY6" i="58" s="1"/>
  <c r="BV30" i="58"/>
  <c r="BW5" i="58" s="1"/>
  <c r="Q15" i="39"/>
  <c r="B27" i="39" s="1"/>
  <c r="Q18" i="39"/>
  <c r="R13" i="39"/>
  <c r="B21" i="39" s="1"/>
  <c r="B26" i="39"/>
  <c r="B23" i="39"/>
  <c r="B24" i="39"/>
  <c r="Q16" i="39"/>
  <c r="B50" i="54"/>
  <c r="B51" i="54"/>
  <c r="R45" i="43"/>
  <c r="T37" i="43"/>
  <c r="AI7" i="58"/>
  <c r="AI8" i="58" s="1"/>
  <c r="BY31" i="58" l="1"/>
  <c r="BZ6" i="58" s="1"/>
  <c r="BW30" i="58"/>
  <c r="BX5" i="58" s="1"/>
  <c r="BW29" i="58"/>
  <c r="BX4" i="58" s="1"/>
  <c r="BX29" i="58" s="1"/>
  <c r="BY4" i="58" s="1"/>
  <c r="B25" i="39"/>
  <c r="B22" i="39"/>
  <c r="AJ3" i="58"/>
  <c r="AJ28" i="58" s="1"/>
  <c r="AJ32" i="58" s="1"/>
  <c r="AJ33" i="58" s="1"/>
  <c r="BY29" i="58" l="1"/>
  <c r="BZ4" i="58" s="1"/>
  <c r="BX30" i="58"/>
  <c r="BY5" i="58" s="1"/>
  <c r="BZ31" i="58"/>
  <c r="CA6" i="58" s="1"/>
  <c r="AJ7" i="58"/>
  <c r="AJ8" i="58" s="1"/>
  <c r="CA31" i="58" l="1"/>
  <c r="CB6" i="58" s="1"/>
  <c r="BY30" i="58"/>
  <c r="BZ5" i="58" s="1"/>
  <c r="BZ29" i="58"/>
  <c r="CA4" i="58" s="1"/>
  <c r="AK3" i="58"/>
  <c r="AK28" i="58" s="1"/>
  <c r="AK32" i="58" s="1"/>
  <c r="AK33" i="58" s="1"/>
  <c r="CA29" i="58" l="1"/>
  <c r="CB4" i="58" s="1"/>
  <c r="BZ30" i="58"/>
  <c r="CA5" i="58" s="1"/>
  <c r="CB31" i="58"/>
  <c r="CC6" i="58" s="1"/>
  <c r="CC31" i="58" s="1"/>
  <c r="CD6" i="58" s="1"/>
  <c r="CD31" i="58" s="1"/>
  <c r="CE6" i="58" s="1"/>
  <c r="AK7" i="58"/>
  <c r="AK8" i="58" s="1"/>
  <c r="CE31" i="58" l="1"/>
  <c r="CF6" i="58" s="1"/>
  <c r="CA30" i="58"/>
  <c r="CB5" i="58" s="1"/>
  <c r="CB30" i="58" s="1"/>
  <c r="CC5" i="58" s="1"/>
  <c r="CB29" i="58"/>
  <c r="CC4" i="58" s="1"/>
  <c r="AL3" i="58"/>
  <c r="AL28" i="58" s="1"/>
  <c r="AL32" i="58" s="1"/>
  <c r="AL33" i="58" s="1"/>
  <c r="CC29" i="58" l="1"/>
  <c r="CD4" i="58" s="1"/>
  <c r="CD29" i="58" s="1"/>
  <c r="CE4" i="58" s="1"/>
  <c r="CC30" i="58"/>
  <c r="CD5" i="58" s="1"/>
  <c r="CF31" i="58"/>
  <c r="CG6" i="58" s="1"/>
  <c r="AL7" i="58"/>
  <c r="AL8" i="58" s="1"/>
  <c r="CG31" i="58" l="1"/>
  <c r="CH6" i="58" s="1"/>
  <c r="CD30" i="58"/>
  <c r="CE5" i="58" s="1"/>
  <c r="CE29" i="58"/>
  <c r="CF4" i="58" s="1"/>
  <c r="AM3" i="58"/>
  <c r="AM28" i="58" s="1"/>
  <c r="AM32" i="58" s="1"/>
  <c r="AM33" i="58" s="1"/>
  <c r="CF29" i="58" l="1"/>
  <c r="CG4" i="58" s="1"/>
  <c r="CE30" i="58"/>
  <c r="CF5" i="58" s="1"/>
  <c r="CH31" i="58"/>
  <c r="CI6" i="58" s="1"/>
  <c r="AM7" i="58"/>
  <c r="AM8" i="58" s="1"/>
  <c r="CI31" i="58" l="1"/>
  <c r="CJ6" i="58" s="1"/>
  <c r="CF30" i="58"/>
  <c r="CG5" i="58" s="1"/>
  <c r="CG29" i="58"/>
  <c r="CH4" i="58" s="1"/>
  <c r="AN3" i="58"/>
  <c r="AN28" i="58" s="1"/>
  <c r="AN32" i="58" s="1"/>
  <c r="AN33" i="58" s="1"/>
  <c r="CH29" i="58" l="1"/>
  <c r="CI4" i="58" s="1"/>
  <c r="CG30" i="58"/>
  <c r="CH5" i="58" s="1"/>
  <c r="CJ31" i="58"/>
  <c r="CK6" i="58" s="1"/>
  <c r="CK31" i="58" s="1"/>
  <c r="CL6" i="58" s="1"/>
  <c r="AN7" i="58"/>
  <c r="AN8" i="58" s="1"/>
  <c r="CL31" i="58" l="1"/>
  <c r="CM6" i="58" s="1"/>
  <c r="CH30" i="58"/>
  <c r="CI5" i="58" s="1"/>
  <c r="CI29" i="58"/>
  <c r="CJ4" i="58" s="1"/>
  <c r="CJ29" i="58" s="1"/>
  <c r="CK4" i="58" s="1"/>
  <c r="AO3" i="58"/>
  <c r="AO28" i="58" s="1"/>
  <c r="AO32" i="58" s="1"/>
  <c r="AO33" i="58" s="1"/>
  <c r="CK29" i="58" l="1"/>
  <c r="CL4" i="58" s="1"/>
  <c r="CI30" i="58"/>
  <c r="CJ5" i="58" s="1"/>
  <c r="CM31" i="58"/>
  <c r="CN6" i="58" s="1"/>
  <c r="CN31" i="58" s="1"/>
  <c r="CO6" i="58" s="1"/>
  <c r="AO7" i="58"/>
  <c r="AO8" i="58" s="1"/>
  <c r="CO31" i="58" l="1"/>
  <c r="CP6" i="58" s="1"/>
  <c r="CJ30" i="58"/>
  <c r="CK5" i="58" s="1"/>
  <c r="CL29" i="58"/>
  <c r="CM4" i="58" s="1"/>
  <c r="AP3" i="58"/>
  <c r="AP28" i="58" s="1"/>
  <c r="AP32" i="58" s="1"/>
  <c r="AP33" i="58" s="1"/>
  <c r="CM29" i="58" l="1"/>
  <c r="CN4" i="58" s="1"/>
  <c r="CK30" i="58"/>
  <c r="CL5" i="58" s="1"/>
  <c r="CP31" i="58"/>
  <c r="CQ6" i="58" s="1"/>
  <c r="AP7" i="58"/>
  <c r="AP8" i="58" s="1"/>
  <c r="CQ31" i="58" l="1"/>
  <c r="CR6" i="58" s="1"/>
  <c r="CL30" i="58"/>
  <c r="CM5" i="58" s="1"/>
  <c r="CN29" i="58"/>
  <c r="CO4" i="58" s="1"/>
  <c r="AQ3" i="58"/>
  <c r="AQ28" i="58" s="1"/>
  <c r="AQ32" i="58" s="1"/>
  <c r="AQ33" i="58" s="1"/>
  <c r="CO29" i="58" l="1"/>
  <c r="CP4" i="58" s="1"/>
  <c r="CP29" i="58" s="1"/>
  <c r="CQ4" i="58" s="1"/>
  <c r="CM30" i="58"/>
  <c r="CN5" i="58" s="1"/>
  <c r="CN30" i="58" s="1"/>
  <c r="CO5" i="58" s="1"/>
  <c r="CR31" i="58"/>
  <c r="CS6" i="58" s="1"/>
  <c r="AQ7" i="58"/>
  <c r="AQ8" i="58" s="1"/>
  <c r="CS31" i="58" l="1"/>
  <c r="CT6" i="58" s="1"/>
  <c r="CO30" i="58"/>
  <c r="CP5" i="58" s="1"/>
  <c r="CQ29" i="58"/>
  <c r="CR4" i="58" s="1"/>
  <c r="AR3" i="58"/>
  <c r="AR28" i="58" s="1"/>
  <c r="AR32" i="58" s="1"/>
  <c r="AR33" i="58" s="1"/>
  <c r="CR29" i="58" l="1"/>
  <c r="CS4" i="58" s="1"/>
  <c r="CP30" i="58"/>
  <c r="CQ5" i="58" s="1"/>
  <c r="CT31" i="58"/>
  <c r="CU6" i="58" s="1"/>
  <c r="AR7" i="58"/>
  <c r="AR8" i="58" s="1"/>
  <c r="CU31" i="58" l="1"/>
  <c r="CV6" i="58" s="1"/>
  <c r="CQ30" i="58"/>
  <c r="CR5" i="58" s="1"/>
  <c r="CS29" i="58"/>
  <c r="CT4" i="58" s="1"/>
  <c r="AS3" i="58"/>
  <c r="AS28" i="58" s="1"/>
  <c r="AS32" i="58" s="1"/>
  <c r="AS33" i="58" s="1"/>
  <c r="CR30" i="58" l="1"/>
  <c r="CS5" i="58" s="1"/>
  <c r="CT29" i="58"/>
  <c r="CU4" i="58" s="1"/>
  <c r="CV31" i="58"/>
  <c r="CW6" i="58" s="1"/>
  <c r="CW31" i="58" s="1"/>
  <c r="CX6" i="58" s="1"/>
  <c r="AS7" i="58"/>
  <c r="AS8" i="58" s="1"/>
  <c r="CX31" i="58" l="1"/>
  <c r="CY6" i="58" s="1"/>
  <c r="CU29" i="58"/>
  <c r="CV4" i="58" s="1"/>
  <c r="CS30" i="58"/>
  <c r="CT5" i="58" s="1"/>
  <c r="CT30" i="58" s="1"/>
  <c r="CU5" i="58" s="1"/>
  <c r="AT3" i="58"/>
  <c r="AT28" i="58" s="1"/>
  <c r="AT32" i="58" s="1"/>
  <c r="AT33" i="58" s="1"/>
  <c r="CV29" i="58" l="1"/>
  <c r="CW4" i="58" s="1"/>
  <c r="CU30" i="58"/>
  <c r="CV5" i="58" s="1"/>
  <c r="CY31" i="58"/>
  <c r="CZ6" i="58" s="1"/>
  <c r="AT7" i="58"/>
  <c r="AT8" i="58" s="1"/>
  <c r="CZ31" i="58" l="1"/>
  <c r="DA6" i="58" s="1"/>
  <c r="CV30" i="58"/>
  <c r="CW5" i="58" s="1"/>
  <c r="CW29" i="58"/>
  <c r="CX4" i="58" s="1"/>
  <c r="AU3" i="58"/>
  <c r="AU28" i="58" s="1"/>
  <c r="AU32" i="58" s="1"/>
  <c r="AU33" i="58" s="1"/>
  <c r="CX29" i="58" l="1"/>
  <c r="CY4" i="58" s="1"/>
  <c r="CW30" i="58"/>
  <c r="CX5" i="58" s="1"/>
  <c r="DA31" i="58"/>
  <c r="DB6" i="58" s="1"/>
  <c r="AU7" i="58"/>
  <c r="AU8" i="58" s="1"/>
  <c r="CX30" i="58" l="1"/>
  <c r="CY5" i="58" s="1"/>
  <c r="DB31" i="58"/>
  <c r="DC6" i="58" s="1"/>
  <c r="DC31" i="58" s="1"/>
  <c r="DD6" i="58" s="1"/>
  <c r="CY29" i="58"/>
  <c r="CZ4" i="58" s="1"/>
  <c r="AV3" i="58"/>
  <c r="AV28" i="58" s="1"/>
  <c r="AV32" i="58" s="1"/>
  <c r="AV33" i="58" s="1"/>
  <c r="DD31" i="58" l="1"/>
  <c r="DE6" i="58" s="1"/>
  <c r="CZ29" i="58"/>
  <c r="DA4" i="58" s="1"/>
  <c r="CY30" i="58"/>
  <c r="CZ5" i="58" s="1"/>
  <c r="CZ30" i="58" s="1"/>
  <c r="DA5" i="58" s="1"/>
  <c r="AV7" i="58"/>
  <c r="AV8" i="58" s="1"/>
  <c r="DA30" i="58" l="1"/>
  <c r="DB5" i="58" s="1"/>
  <c r="DA29" i="58"/>
  <c r="DB4" i="58" s="1"/>
  <c r="DB29" i="58" s="1"/>
  <c r="DC4" i="58" s="1"/>
  <c r="DE31" i="58"/>
  <c r="DF6" i="58" s="1"/>
  <c r="DF31" i="58" s="1"/>
  <c r="DG6" i="58" s="1"/>
  <c r="AW3" i="58"/>
  <c r="AW28" i="58" s="1"/>
  <c r="AW32" i="58" s="1"/>
  <c r="AW33" i="58" s="1"/>
  <c r="DG31" i="58" l="1"/>
  <c r="DH6" i="58" s="1"/>
  <c r="DC29" i="58"/>
  <c r="DD4" i="58" s="1"/>
  <c r="DB30" i="58"/>
  <c r="DC5" i="58" s="1"/>
  <c r="AW7" i="58"/>
  <c r="AW8" i="58" s="1"/>
  <c r="DD29" i="58" l="1"/>
  <c r="DE4" i="58" s="1"/>
  <c r="DC30" i="58"/>
  <c r="DD5" i="58" s="1"/>
  <c r="DH31" i="58"/>
  <c r="DI6" i="58" s="1"/>
  <c r="AX3" i="58"/>
  <c r="AX28" i="58" s="1"/>
  <c r="AX32" i="58" s="1"/>
  <c r="AX33" i="58" s="1"/>
  <c r="DI31" i="58" l="1"/>
  <c r="DJ6" i="58" s="1"/>
  <c r="DD30" i="58"/>
  <c r="DE5" i="58" s="1"/>
  <c r="DE29" i="58"/>
  <c r="DF4" i="58" s="1"/>
  <c r="AX7" i="58"/>
  <c r="AX8" i="58" s="1"/>
  <c r="DE30" i="58" l="1"/>
  <c r="DF5" i="58" s="1"/>
  <c r="DF29" i="58"/>
  <c r="DG4" i="58" s="1"/>
  <c r="DJ31" i="58"/>
  <c r="DK6" i="58" s="1"/>
  <c r="AY3" i="58"/>
  <c r="AY28" i="58" s="1"/>
  <c r="AY32" i="58" s="1"/>
  <c r="AY33" i="58" s="1"/>
  <c r="DK31" i="58" l="1"/>
  <c r="DL6" i="58" s="1"/>
  <c r="DG29" i="58"/>
  <c r="DH4" i="58" s="1"/>
  <c r="DH29" i="58" s="1"/>
  <c r="DI4" i="58" s="1"/>
  <c r="DF30" i="58"/>
  <c r="DG5" i="58" s="1"/>
  <c r="AY7" i="58"/>
  <c r="AY8" i="58" s="1"/>
  <c r="DI29" i="58" l="1"/>
  <c r="DJ4" i="58" s="1"/>
  <c r="DG30" i="58"/>
  <c r="DH5" i="58" s="1"/>
  <c r="DL31" i="58"/>
  <c r="DM6" i="58" s="1"/>
  <c r="AZ3" i="58"/>
  <c r="AZ28" i="58" s="1"/>
  <c r="AZ32" i="58" s="1"/>
  <c r="AZ33" i="58" s="1"/>
  <c r="DM31" i="58" l="1"/>
  <c r="DN6" i="58" s="1"/>
  <c r="DH30" i="58"/>
  <c r="DI5" i="58" s="1"/>
  <c r="DJ29" i="58"/>
  <c r="DK4" i="58" s="1"/>
  <c r="AZ7" i="58"/>
  <c r="AZ8" i="58" s="1"/>
  <c r="DK29" i="58" l="1"/>
  <c r="DL4" i="58" s="1"/>
  <c r="DI30" i="58"/>
  <c r="DJ5" i="58" s="1"/>
  <c r="DN31" i="58"/>
  <c r="DO6" i="58" s="1"/>
  <c r="DO31" i="58" s="1"/>
  <c r="DP6" i="58" s="1"/>
  <c r="BA3" i="58"/>
  <c r="BA28" i="58" s="1"/>
  <c r="BA32" i="58" s="1"/>
  <c r="BA33" i="58" s="1"/>
  <c r="DP31" i="58" l="1"/>
  <c r="DQ6" i="58" s="1"/>
  <c r="DJ30" i="58"/>
  <c r="DK5" i="58" s="1"/>
  <c r="DL29" i="58"/>
  <c r="DM4" i="58" s="1"/>
  <c r="BA7" i="58"/>
  <c r="BA8" i="58" s="1"/>
  <c r="DK30" i="58" l="1"/>
  <c r="DL5" i="58" s="1"/>
  <c r="DL30" i="58" s="1"/>
  <c r="DM5" i="58" s="1"/>
  <c r="DM29" i="58"/>
  <c r="DN4" i="58" s="1"/>
  <c r="DN29" i="58" s="1"/>
  <c r="DO4" i="58" s="1"/>
  <c r="DQ31" i="58"/>
  <c r="DR6" i="58" s="1"/>
  <c r="BB3" i="58"/>
  <c r="BB28" i="58" s="1"/>
  <c r="BB32" i="58" s="1"/>
  <c r="BB33" i="58" s="1"/>
  <c r="DO29" i="58" l="1"/>
  <c r="DP4" i="58" s="1"/>
  <c r="DR31" i="58"/>
  <c r="DS6" i="58" s="1"/>
  <c r="DM30" i="58"/>
  <c r="DN5" i="58" s="1"/>
  <c r="BB7" i="58"/>
  <c r="BB8" i="58" s="1"/>
  <c r="DN30" i="58" l="1"/>
  <c r="DO5" i="58" s="1"/>
  <c r="DS31" i="58"/>
  <c r="DT6" i="58" s="1"/>
  <c r="DP29" i="58"/>
  <c r="DQ4" i="58" s="1"/>
  <c r="BC3" i="58"/>
  <c r="BC28" i="58" s="1"/>
  <c r="BC32" i="58" s="1"/>
  <c r="BC33" i="58" s="1"/>
  <c r="DQ29" i="58" l="1"/>
  <c r="DR4" i="58" s="1"/>
  <c r="DT31" i="58"/>
  <c r="DU6" i="58" s="1"/>
  <c r="DU31" i="58" s="1"/>
  <c r="DV6" i="58" s="1"/>
  <c r="DO30" i="58"/>
  <c r="DP5" i="58" s="1"/>
  <c r="BC7" i="58"/>
  <c r="BC8" i="58" s="1"/>
  <c r="DP30" i="58" l="1"/>
  <c r="DQ5" i="58" s="1"/>
  <c r="DV31" i="58"/>
  <c r="DW6" i="58" s="1"/>
  <c r="DR29" i="58"/>
  <c r="DS4" i="58" s="1"/>
  <c r="BD3" i="58"/>
  <c r="BD28" i="58" s="1"/>
  <c r="BD32" i="58" s="1"/>
  <c r="BD33" i="58" s="1"/>
  <c r="DS29" i="58" l="1"/>
  <c r="DT4" i="58" s="1"/>
  <c r="DW31" i="58"/>
  <c r="DX6" i="58" s="1"/>
  <c r="DX31" i="58" s="1"/>
  <c r="DY6" i="58" s="1"/>
  <c r="DQ30" i="58"/>
  <c r="DR5" i="58" s="1"/>
  <c r="DR30" i="58" s="1"/>
  <c r="DS5" i="58" s="1"/>
  <c r="BD7" i="58"/>
  <c r="BD8" i="58" s="1"/>
  <c r="DY31" i="58" l="1"/>
  <c r="DZ6" i="58" s="1"/>
  <c r="DS30" i="58"/>
  <c r="DT5" i="58" s="1"/>
  <c r="DT29" i="58"/>
  <c r="DU4" i="58" s="1"/>
  <c r="BE3" i="58"/>
  <c r="BE28" i="58" s="1"/>
  <c r="BE32" i="58" s="1"/>
  <c r="BE33" i="58" s="1"/>
  <c r="DU29" i="58" l="1"/>
  <c r="DV4" i="58" s="1"/>
  <c r="DT30" i="58"/>
  <c r="DU5" i="58" s="1"/>
  <c r="DZ31" i="58"/>
  <c r="EA6" i="58" s="1"/>
  <c r="BE7" i="58"/>
  <c r="BE8" i="58" s="1"/>
  <c r="EA31" i="58" l="1"/>
  <c r="EB6" i="58" s="1"/>
  <c r="DU30" i="58"/>
  <c r="DV5" i="58" s="1"/>
  <c r="DV29" i="58"/>
  <c r="DW4" i="58" s="1"/>
  <c r="BF3" i="58"/>
  <c r="BF28" i="58" s="1"/>
  <c r="BF32" i="58" s="1"/>
  <c r="BF33" i="58" s="1"/>
  <c r="DV30" i="58" l="1"/>
  <c r="DW5" i="58" s="1"/>
  <c r="DW29" i="58"/>
  <c r="DX4" i="58" s="1"/>
  <c r="EB31" i="58"/>
  <c r="EC6" i="58" s="1"/>
  <c r="BF7" i="58"/>
  <c r="BF8" i="58" s="1"/>
  <c r="DX29" i="58" l="1"/>
  <c r="DY4" i="58" s="1"/>
  <c r="EC31" i="58"/>
  <c r="ED6" i="58" s="1"/>
  <c r="DW30" i="58"/>
  <c r="DX5" i="58" s="1"/>
  <c r="DX30" i="58" s="1"/>
  <c r="DY5" i="58" s="1"/>
  <c r="BG3" i="58"/>
  <c r="BG28" i="58" s="1"/>
  <c r="BG32" i="58" s="1"/>
  <c r="BG33" i="58" s="1"/>
  <c r="DY30" i="58" l="1"/>
  <c r="DZ5" i="58" s="1"/>
  <c r="ED31" i="58"/>
  <c r="EE6" i="58" s="1"/>
  <c r="DY29" i="58"/>
  <c r="DZ4" i="58" s="1"/>
  <c r="DZ29" i="58" s="1"/>
  <c r="EA4" i="58" s="1"/>
  <c r="BG7" i="58"/>
  <c r="BG8" i="58" s="1"/>
  <c r="EA29" i="58" l="1"/>
  <c r="EB4" i="58" s="1"/>
  <c r="EE31" i="58"/>
  <c r="EF6" i="58" s="1"/>
  <c r="DZ30" i="58"/>
  <c r="EA5" i="58" s="1"/>
  <c r="BH3" i="58"/>
  <c r="BH28" i="58" s="1"/>
  <c r="BH32" i="58" s="1"/>
  <c r="BH33" i="58" s="1"/>
  <c r="EF31" i="58" l="1"/>
  <c r="EG6" i="58" s="1"/>
  <c r="EG31" i="58" s="1"/>
  <c r="EH6" i="58" s="1"/>
  <c r="EA30" i="58"/>
  <c r="EB5" i="58" s="1"/>
  <c r="EB29" i="58"/>
  <c r="EC4" i="58" s="1"/>
  <c r="BH7" i="58"/>
  <c r="BH8" i="58" s="1"/>
  <c r="EB30" i="58" l="1"/>
  <c r="EC5" i="58" s="1"/>
  <c r="EC29" i="58"/>
  <c r="ED4" i="58" s="1"/>
  <c r="EH31" i="58"/>
  <c r="EI6" i="58" s="1"/>
  <c r="BI3" i="58"/>
  <c r="BI28" i="58" s="1"/>
  <c r="BI32" i="58" s="1"/>
  <c r="BI33" i="58" s="1"/>
  <c r="EI31" i="58" l="1"/>
  <c r="EJ6" i="58" s="1"/>
  <c r="ED29" i="58"/>
  <c r="EE4" i="58" s="1"/>
  <c r="EC30" i="58"/>
  <c r="ED5" i="58" s="1"/>
  <c r="BI7" i="58"/>
  <c r="BI8" i="58" s="1"/>
  <c r="ED30" i="58" l="1"/>
  <c r="EE5" i="58" s="1"/>
  <c r="EE29" i="58"/>
  <c r="EF4" i="58" s="1"/>
  <c r="EJ31" i="58"/>
  <c r="EK6" i="58" s="1"/>
  <c r="BJ3" i="58"/>
  <c r="BJ28" i="58" s="1"/>
  <c r="BJ32" i="58" s="1"/>
  <c r="BJ33" i="58" s="1"/>
  <c r="EK31" i="58" l="1"/>
  <c r="EL6" i="58" s="1"/>
  <c r="EF29" i="58"/>
  <c r="EG4" i="58" s="1"/>
  <c r="EE30" i="58"/>
  <c r="EF5" i="58" s="1"/>
  <c r="BJ7" i="58"/>
  <c r="BJ8" i="58" s="1"/>
  <c r="EF30" i="58" l="1"/>
  <c r="EG5" i="58" s="1"/>
  <c r="EG29" i="58"/>
  <c r="EH4" i="58" s="1"/>
  <c r="EL31" i="58"/>
  <c r="EM6" i="58" s="1"/>
  <c r="BK3" i="58"/>
  <c r="BK28" i="58" s="1"/>
  <c r="BK32" i="58" s="1"/>
  <c r="BK33" i="58" s="1"/>
  <c r="EM31" i="58" l="1"/>
  <c r="EN6" i="58" s="1"/>
  <c r="EG30" i="58"/>
  <c r="EH5" i="58" s="1"/>
  <c r="EH29" i="58"/>
  <c r="EI4" i="58" s="1"/>
  <c r="BK7" i="58"/>
  <c r="BK8" i="58" s="1"/>
  <c r="EI29" i="58" l="1"/>
  <c r="EJ4" i="58" s="1"/>
  <c r="EH30" i="58"/>
  <c r="EI5" i="58" s="1"/>
  <c r="EN31" i="58"/>
  <c r="EO6" i="58" s="1"/>
  <c r="BL3" i="58"/>
  <c r="BL28" i="58" s="1"/>
  <c r="BL32" i="58" s="1"/>
  <c r="BL33" i="58" s="1"/>
  <c r="EO31" i="58" l="1"/>
  <c r="EP6" i="58" s="1"/>
  <c r="EP31" i="58" s="1"/>
  <c r="EQ6" i="58" s="1"/>
  <c r="EI30" i="58"/>
  <c r="EJ5" i="58" s="1"/>
  <c r="EJ30" i="58" s="1"/>
  <c r="EK5" i="58" s="1"/>
  <c r="EJ29" i="58"/>
  <c r="EK4" i="58" s="1"/>
  <c r="BL7" i="58"/>
  <c r="BL8" i="58" s="1"/>
  <c r="EK30" i="58" l="1"/>
  <c r="EL5" i="58" s="1"/>
  <c r="EK29" i="58"/>
  <c r="EL4" i="58" s="1"/>
  <c r="EL29" i="58" s="1"/>
  <c r="EM4" i="58" s="1"/>
  <c r="EQ31" i="58"/>
  <c r="ER6" i="58" s="1"/>
  <c r="BM3" i="58"/>
  <c r="BM28" i="58" s="1"/>
  <c r="BM32" i="58" s="1"/>
  <c r="BM33" i="58" s="1"/>
  <c r="EM29" i="58" l="1"/>
  <c r="EN4" i="58" s="1"/>
  <c r="ER31" i="58"/>
  <c r="ES6" i="58" s="1"/>
  <c r="EL30" i="58"/>
  <c r="EM5" i="58" s="1"/>
  <c r="BM7" i="58"/>
  <c r="BM8" i="58" s="1"/>
  <c r="EM30" i="58" l="1"/>
  <c r="EN5" i="58" s="1"/>
  <c r="ES31" i="58"/>
  <c r="ET6" i="58" s="1"/>
  <c r="EN29" i="58"/>
  <c r="EO4" i="58" s="1"/>
  <c r="BN3" i="58"/>
  <c r="BN28" i="58" s="1"/>
  <c r="BN32" i="58" s="1"/>
  <c r="BN33" i="58" s="1"/>
  <c r="EO29" i="58" l="1"/>
  <c r="EP4" i="58" s="1"/>
  <c r="ET31" i="58"/>
  <c r="EU6" i="58" s="1"/>
  <c r="EN30" i="58"/>
  <c r="EO5" i="58" s="1"/>
  <c r="BN7" i="58"/>
  <c r="BN8" i="58" s="1"/>
  <c r="EU31" i="58" l="1"/>
  <c r="EV6" i="58" s="1"/>
  <c r="EV31" i="58" s="1"/>
  <c r="EW6" i="58" s="1"/>
  <c r="EO30" i="58"/>
  <c r="EP5" i="58" s="1"/>
  <c r="EP29" i="58"/>
  <c r="EQ4" i="58" s="1"/>
  <c r="BO3" i="58"/>
  <c r="BO28" i="58" s="1"/>
  <c r="BO32" i="58" s="1"/>
  <c r="BO33" i="58" s="1"/>
  <c r="EQ29" i="58" l="1"/>
  <c r="ER4" i="58" s="1"/>
  <c r="EP30" i="58"/>
  <c r="EQ5" i="58" s="1"/>
  <c r="EW31" i="58"/>
  <c r="EX6" i="58" s="1"/>
  <c r="BO7" i="58"/>
  <c r="BO8" i="58" s="1"/>
  <c r="EX31" i="58" l="1"/>
  <c r="EY6" i="58" s="1"/>
  <c r="EY31" i="58" s="1"/>
  <c r="EZ6" i="58" s="1"/>
  <c r="EQ30" i="58"/>
  <c r="ER5" i="58" s="1"/>
  <c r="ER29" i="58"/>
  <c r="ES4" i="58" s="1"/>
  <c r="BP3" i="58"/>
  <c r="BP28" i="58" s="1"/>
  <c r="BP32" i="58" s="1"/>
  <c r="BP33" i="58" s="1"/>
  <c r="ES29" i="58" l="1"/>
  <c r="ET4" i="58" s="1"/>
  <c r="ER30" i="58"/>
  <c r="ES5" i="58" s="1"/>
  <c r="EZ31" i="58"/>
  <c r="FA6" i="58" s="1"/>
  <c r="BP7" i="58"/>
  <c r="BP8" i="58" s="1"/>
  <c r="ES30" i="58" l="1"/>
  <c r="ET5" i="58" s="1"/>
  <c r="FA31" i="58"/>
  <c r="FB6" i="58" s="1"/>
  <c r="ET29" i="58"/>
  <c r="EU4" i="58" s="1"/>
  <c r="BQ3" i="58"/>
  <c r="BQ28" i="58" s="1"/>
  <c r="BQ32" i="58" s="1"/>
  <c r="BQ33" i="58" s="1"/>
  <c r="EU29" i="58" l="1"/>
  <c r="EV4" i="58" s="1"/>
  <c r="FB31" i="58"/>
  <c r="FC6" i="58" s="1"/>
  <c r="ET30" i="58"/>
  <c r="EU5" i="58" s="1"/>
  <c r="BQ7" i="58"/>
  <c r="BQ8" i="58" s="1"/>
  <c r="FC31" i="58" l="1"/>
  <c r="FD6" i="58" s="1"/>
  <c r="EU30" i="58"/>
  <c r="EV5" i="58" s="1"/>
  <c r="EV30" i="58" s="1"/>
  <c r="EW5" i="58" s="1"/>
  <c r="EV29" i="58"/>
  <c r="EW4" i="58" s="1"/>
  <c r="BR3" i="58"/>
  <c r="BR28" i="58" s="1"/>
  <c r="BR32" i="58" s="1"/>
  <c r="BR33" i="58" s="1"/>
  <c r="EW30" i="58" l="1"/>
  <c r="EX5" i="58" s="1"/>
  <c r="EW29" i="58"/>
  <c r="EX4" i="58" s="1"/>
  <c r="EX29" i="58" s="1"/>
  <c r="EY4" i="58" s="1"/>
  <c r="FD31" i="58"/>
  <c r="FE6" i="58" s="1"/>
  <c r="BR7" i="58"/>
  <c r="BR8" i="58" s="1"/>
  <c r="EY29" i="58" l="1"/>
  <c r="EZ4" i="58" s="1"/>
  <c r="FE31" i="58"/>
  <c r="FF6" i="58" s="1"/>
  <c r="EX30" i="58"/>
  <c r="EY5" i="58" s="1"/>
  <c r="BS3" i="58"/>
  <c r="BS28" i="58" s="1"/>
  <c r="BS32" i="58" s="1"/>
  <c r="BS33" i="58" s="1"/>
  <c r="EY30" i="58" l="1"/>
  <c r="EZ5" i="58" s="1"/>
  <c r="FF31" i="58"/>
  <c r="FG6" i="58" s="1"/>
  <c r="EZ29" i="58"/>
  <c r="FA4" i="58" s="1"/>
  <c r="BS7" i="58"/>
  <c r="BS8" i="58" s="1"/>
  <c r="FG31" i="58" l="1"/>
  <c r="FH6" i="58" s="1"/>
  <c r="FH31" i="58" s="1"/>
  <c r="FI6" i="58" s="1"/>
  <c r="FA29" i="58"/>
  <c r="FB4" i="58" s="1"/>
  <c r="EZ30" i="58"/>
  <c r="FA5" i="58" s="1"/>
  <c r="BT3" i="58"/>
  <c r="BT28" i="58" s="1"/>
  <c r="BT32" i="58" s="1"/>
  <c r="BT33" i="58" s="1"/>
  <c r="FB29" i="58" l="1"/>
  <c r="FC4" i="58" s="1"/>
  <c r="FA30" i="58"/>
  <c r="FB5" i="58" s="1"/>
  <c r="FI31" i="58"/>
  <c r="FJ6" i="58" s="1"/>
  <c r="BT7" i="58"/>
  <c r="BT8" i="58" s="1"/>
  <c r="FJ31" i="58" l="1"/>
  <c r="FK6" i="58" s="1"/>
  <c r="FB30" i="58"/>
  <c r="FC5" i="58" s="1"/>
  <c r="FC29" i="58"/>
  <c r="FD4" i="58" s="1"/>
  <c r="BU3" i="58"/>
  <c r="BU28" i="58" s="1"/>
  <c r="BU32" i="58" s="1"/>
  <c r="BU33" i="58" s="1"/>
  <c r="FD29" i="58" l="1"/>
  <c r="FE4" i="58" s="1"/>
  <c r="FC30" i="58"/>
  <c r="FD5" i="58" s="1"/>
  <c r="FK31" i="58"/>
  <c r="FL6" i="58" s="1"/>
  <c r="BU7" i="58"/>
  <c r="BU8" i="58" s="1"/>
  <c r="FL31" i="58" l="1"/>
  <c r="FM6" i="58" s="1"/>
  <c r="FD30" i="58"/>
  <c r="FE5" i="58" s="1"/>
  <c r="FE29" i="58"/>
  <c r="FF4" i="58" s="1"/>
  <c r="BV3" i="58"/>
  <c r="BV28" i="58" s="1"/>
  <c r="BV32" i="58" s="1"/>
  <c r="BV33" i="58" s="1"/>
  <c r="FF29" i="58" l="1"/>
  <c r="FG4" i="58" s="1"/>
  <c r="FE30" i="58"/>
  <c r="FF5" i="58" s="1"/>
  <c r="FM31" i="58"/>
  <c r="FN6" i="58" s="1"/>
  <c r="BV7" i="58"/>
  <c r="BV8" i="58" s="1"/>
  <c r="FN31" i="58" l="1"/>
  <c r="FO6" i="58" s="1"/>
  <c r="FO31" i="58" s="1"/>
  <c r="FF30" i="58"/>
  <c r="FG5" i="58" s="1"/>
  <c r="FG29" i="58"/>
  <c r="FH4" i="58" s="1"/>
  <c r="BW3" i="58"/>
  <c r="BW28" i="58" s="1"/>
  <c r="BW32" i="58" s="1"/>
  <c r="BW33" i="58" s="1"/>
  <c r="FH29" i="58" l="1"/>
  <c r="FI4" i="58" s="1"/>
  <c r="FG30" i="58"/>
  <c r="FH5" i="58" s="1"/>
  <c r="FH30" i="58" s="1"/>
  <c r="FI5" i="58" s="1"/>
  <c r="BW7" i="58"/>
  <c r="BW8" i="58" s="1"/>
  <c r="FI30" i="58" l="1"/>
  <c r="FJ5" i="58" s="1"/>
  <c r="FI29" i="58"/>
  <c r="FJ4" i="58" s="1"/>
  <c r="FJ29" i="58" s="1"/>
  <c r="FK4" i="58" s="1"/>
  <c r="BX3" i="58"/>
  <c r="BX28" i="58" s="1"/>
  <c r="BX32" i="58" s="1"/>
  <c r="BX33" i="58" s="1"/>
  <c r="FK29" i="58" l="1"/>
  <c r="FL4" i="58" s="1"/>
  <c r="FJ30" i="58"/>
  <c r="FK5" i="58" s="1"/>
  <c r="BX7" i="58"/>
  <c r="BX8" i="58" s="1"/>
  <c r="FK30" i="58" l="1"/>
  <c r="FL5" i="58" s="1"/>
  <c r="FL29" i="58"/>
  <c r="FM4" i="58" s="1"/>
  <c r="BY3" i="58"/>
  <c r="BY28" i="58" s="1"/>
  <c r="BY32" i="58" s="1"/>
  <c r="BY33" i="58" s="1"/>
  <c r="FM29" i="58" l="1"/>
  <c r="FN4" i="58" s="1"/>
  <c r="FL30" i="58"/>
  <c r="FM5" i="58" s="1"/>
  <c r="BY7" i="58"/>
  <c r="BY8" i="58" s="1"/>
  <c r="FM30" i="58" l="1"/>
  <c r="FN5" i="58" s="1"/>
  <c r="FN30" i="58" s="1"/>
  <c r="FO5" i="58" s="1"/>
  <c r="FO30" i="58" s="1"/>
  <c r="FN29" i="58"/>
  <c r="FO4" i="58" s="1"/>
  <c r="FO29" i="58" s="1"/>
  <c r="BZ3" i="58"/>
  <c r="BZ28" i="58" s="1"/>
  <c r="BZ32" i="58" s="1"/>
  <c r="BZ33" i="58" s="1"/>
  <c r="BZ7" i="58" l="1"/>
  <c r="BZ8" i="58" s="1"/>
  <c r="CA3" i="58" l="1"/>
  <c r="CA28" i="58" s="1"/>
  <c r="CA32" i="58" s="1"/>
  <c r="CA33" i="58" s="1"/>
  <c r="CA7" i="58" l="1"/>
  <c r="CA8" i="58" s="1"/>
  <c r="CB3" i="58" l="1"/>
  <c r="CB28" i="58" s="1"/>
  <c r="CB32" i="58" s="1"/>
  <c r="CB33" i="58" s="1"/>
  <c r="CB7" i="58" l="1"/>
  <c r="CB8" i="58" s="1"/>
  <c r="CC3" i="58" l="1"/>
  <c r="CC28" i="58" s="1"/>
  <c r="CC32" i="58" s="1"/>
  <c r="CC33" i="58" s="1"/>
  <c r="CC7" i="58" l="1"/>
  <c r="CC8" i="58" s="1"/>
  <c r="CD3" i="58" l="1"/>
  <c r="CD28" i="58" s="1"/>
  <c r="CD32" i="58" s="1"/>
  <c r="CD33" i="58" s="1"/>
  <c r="CD7" i="58" l="1"/>
  <c r="CD8" i="58" s="1"/>
  <c r="CE3" i="58" l="1"/>
  <c r="CE28" i="58" s="1"/>
  <c r="CE32" i="58" s="1"/>
  <c r="CE33" i="58" s="1"/>
  <c r="CE7" i="58" l="1"/>
  <c r="CE8" i="58" s="1"/>
  <c r="CF3" i="58" l="1"/>
  <c r="CF28" i="58" s="1"/>
  <c r="CF32" i="58" s="1"/>
  <c r="CF33" i="58" s="1"/>
  <c r="CF7" i="58" l="1"/>
  <c r="CF8" i="58" s="1"/>
  <c r="CG3" i="58" l="1"/>
  <c r="CG28" i="58" s="1"/>
  <c r="CG32" i="58" s="1"/>
  <c r="CG33" i="58" s="1"/>
  <c r="CG7" i="58" l="1"/>
  <c r="CG8" i="58" s="1"/>
  <c r="CH3" i="58" l="1"/>
  <c r="CH28" i="58" s="1"/>
  <c r="CH32" i="58" s="1"/>
  <c r="CH33" i="58" s="1"/>
  <c r="CH7" i="58" l="1"/>
  <c r="CH8" i="58" s="1"/>
  <c r="CI3" i="58" l="1"/>
  <c r="CI28" i="58" s="1"/>
  <c r="CI32" i="58" s="1"/>
  <c r="CI33" i="58" s="1"/>
  <c r="CI7" i="58" l="1"/>
  <c r="CI8" i="58" s="1"/>
  <c r="CJ3" i="58" l="1"/>
  <c r="CJ28" i="58" s="1"/>
  <c r="CJ32" i="58" s="1"/>
  <c r="CJ33" i="58" s="1"/>
  <c r="CJ7" i="58" l="1"/>
  <c r="CJ8" i="58" s="1"/>
  <c r="CK3" i="58" l="1"/>
  <c r="CK28" i="58" s="1"/>
  <c r="CK32" i="58" s="1"/>
  <c r="CK33" i="58" s="1"/>
  <c r="CK7" i="58" l="1"/>
  <c r="CK8" i="58" s="1"/>
  <c r="CL3" i="58" l="1"/>
  <c r="CL28" i="58" s="1"/>
  <c r="CL32" i="58" s="1"/>
  <c r="CL33" i="58" s="1"/>
  <c r="CL7" i="58" l="1"/>
  <c r="CL8" i="58" s="1"/>
  <c r="CM3" i="58" l="1"/>
  <c r="CM28" i="58" s="1"/>
  <c r="CM32" i="58" s="1"/>
  <c r="CM33" i="58" s="1"/>
  <c r="CM7" i="58" l="1"/>
  <c r="CM8" i="58" s="1"/>
  <c r="CN3" i="58" l="1"/>
  <c r="CN28" i="58" s="1"/>
  <c r="CN32" i="58" s="1"/>
  <c r="CN33" i="58" s="1"/>
  <c r="CN7" i="58" l="1"/>
  <c r="CN8" i="58" s="1"/>
  <c r="CO3" i="58" l="1"/>
  <c r="CO28" i="58" s="1"/>
  <c r="CO32" i="58" s="1"/>
  <c r="CO33" i="58" s="1"/>
  <c r="CO7" i="58" l="1"/>
  <c r="CO8" i="58" s="1"/>
  <c r="CP3" i="58" l="1"/>
  <c r="CP28" i="58" s="1"/>
  <c r="CP32" i="58" s="1"/>
  <c r="CP33" i="58" s="1"/>
  <c r="CP7" i="58" l="1"/>
  <c r="CP8" i="58" s="1"/>
  <c r="CQ3" i="58" l="1"/>
  <c r="CQ28" i="58" s="1"/>
  <c r="CQ32" i="58" s="1"/>
  <c r="CQ33" i="58" s="1"/>
  <c r="CQ7" i="58" l="1"/>
  <c r="CQ8" i="58" s="1"/>
  <c r="CR3" i="58" l="1"/>
  <c r="CR28" i="58" s="1"/>
  <c r="CR32" i="58" s="1"/>
  <c r="CR33" i="58" s="1"/>
  <c r="CR7" i="58" l="1"/>
  <c r="CR8" i="58" s="1"/>
  <c r="CS3" i="58" l="1"/>
  <c r="CS28" i="58" s="1"/>
  <c r="CS32" i="58" s="1"/>
  <c r="CS33" i="58" s="1"/>
  <c r="CS7" i="58" l="1"/>
  <c r="CS8" i="58" s="1"/>
  <c r="CT3" i="58" l="1"/>
  <c r="CT28" i="58" s="1"/>
  <c r="CT32" i="58" s="1"/>
  <c r="CT33" i="58" s="1"/>
  <c r="CT7" i="58" l="1"/>
  <c r="CT8" i="58" s="1"/>
  <c r="CU3" i="58" l="1"/>
  <c r="CU28" i="58" s="1"/>
  <c r="CU32" i="58" s="1"/>
  <c r="CU33" i="58" s="1"/>
  <c r="CU7" i="58" l="1"/>
  <c r="CU8" i="58" s="1"/>
  <c r="CV3" i="58" l="1"/>
  <c r="CV28" i="58" s="1"/>
  <c r="CV32" i="58" s="1"/>
  <c r="CV33" i="58" s="1"/>
  <c r="CV7" i="58" l="1"/>
  <c r="CV8" i="58" s="1"/>
  <c r="CW3" i="58" l="1"/>
  <c r="CW28" i="58" s="1"/>
  <c r="CW32" i="58" s="1"/>
  <c r="CW33" i="58" s="1"/>
  <c r="CW7" i="58" l="1"/>
  <c r="CW8" i="58" s="1"/>
  <c r="CX3" i="58" l="1"/>
  <c r="CX28" i="58" s="1"/>
  <c r="CX32" i="58" s="1"/>
  <c r="CX33" i="58" s="1"/>
  <c r="CX7" i="58" l="1"/>
  <c r="CX8" i="58" s="1"/>
  <c r="CY3" i="58" l="1"/>
  <c r="CY28" i="58" s="1"/>
  <c r="CY32" i="58" s="1"/>
  <c r="CY33" i="58" s="1"/>
  <c r="CY7" i="58" l="1"/>
  <c r="CY8" i="58" s="1"/>
  <c r="CZ3" i="58" l="1"/>
  <c r="CZ28" i="58" s="1"/>
  <c r="CZ32" i="58" s="1"/>
  <c r="CZ33" i="58" s="1"/>
  <c r="CZ7" i="58" l="1"/>
  <c r="CZ8" i="58" s="1"/>
  <c r="DA3" i="58" l="1"/>
  <c r="DA28" i="58" s="1"/>
  <c r="DA32" i="58" s="1"/>
  <c r="DA33" i="58" s="1"/>
  <c r="DA7" i="58" l="1"/>
  <c r="DA8" i="58" s="1"/>
  <c r="DB3" i="58" l="1"/>
  <c r="DB28" i="58" s="1"/>
  <c r="DB32" i="58" s="1"/>
  <c r="DB33" i="58" s="1"/>
  <c r="DB7" i="58" l="1"/>
  <c r="DB8" i="58" s="1"/>
  <c r="DC3" i="58" l="1"/>
  <c r="DC28" i="58" s="1"/>
  <c r="DC32" i="58" s="1"/>
  <c r="DC33" i="58" s="1"/>
  <c r="DC7" i="58" l="1"/>
  <c r="DC8" i="58" s="1"/>
  <c r="DD3" i="58" l="1"/>
  <c r="DD28" i="58" s="1"/>
  <c r="DD32" i="58" s="1"/>
  <c r="DD33" i="58" s="1"/>
  <c r="DD7" i="58" l="1"/>
  <c r="DD8" i="58" s="1"/>
  <c r="DE3" i="58" l="1"/>
  <c r="DE28" i="58" s="1"/>
  <c r="DE32" i="58" s="1"/>
  <c r="DE33" i="58" s="1"/>
  <c r="DE7" i="58" l="1"/>
  <c r="DE8" i="58" s="1"/>
  <c r="DF3" i="58" l="1"/>
  <c r="DF28" i="58" s="1"/>
  <c r="DF32" i="58" s="1"/>
  <c r="DF33" i="58" s="1"/>
  <c r="DF7" i="58" l="1"/>
  <c r="DF8" i="58" s="1"/>
  <c r="DG3" i="58" l="1"/>
  <c r="DG28" i="58" s="1"/>
  <c r="DG32" i="58" s="1"/>
  <c r="DG33" i="58" s="1"/>
  <c r="DG7" i="58" l="1"/>
  <c r="DG8" i="58" s="1"/>
  <c r="DH3" i="58" l="1"/>
  <c r="DH28" i="58" s="1"/>
  <c r="DH32" i="58" s="1"/>
  <c r="DH33" i="58" s="1"/>
  <c r="DH7" i="58" l="1"/>
  <c r="DH8" i="58" s="1"/>
  <c r="DI3" i="58" l="1"/>
  <c r="DI28" i="58" s="1"/>
  <c r="DI32" i="58" s="1"/>
  <c r="DI33" i="58" s="1"/>
  <c r="DI7" i="58" l="1"/>
  <c r="DI8" i="58" s="1"/>
  <c r="DJ3" i="58" l="1"/>
  <c r="DJ28" i="58" s="1"/>
  <c r="DJ32" i="58" s="1"/>
  <c r="DJ33" i="58" s="1"/>
  <c r="DJ7" i="58" l="1"/>
  <c r="DJ8" i="58" s="1"/>
  <c r="DK3" i="58" l="1"/>
  <c r="DK28" i="58" s="1"/>
  <c r="DK32" i="58" s="1"/>
  <c r="DK33" i="58" s="1"/>
  <c r="DK7" i="58" l="1"/>
  <c r="DK8" i="58" s="1"/>
  <c r="DL3" i="58" l="1"/>
  <c r="DL28" i="58" s="1"/>
  <c r="DL32" i="58" s="1"/>
  <c r="DL33" i="58" s="1"/>
  <c r="DL7" i="58" l="1"/>
  <c r="DL8" i="58" s="1"/>
  <c r="DM3" i="58" l="1"/>
  <c r="DM28" i="58" s="1"/>
  <c r="DM32" i="58" s="1"/>
  <c r="DM33" i="58" s="1"/>
  <c r="DM7" i="58" l="1"/>
  <c r="DM8" i="58" s="1"/>
  <c r="DN3" i="58" l="1"/>
  <c r="DN28" i="58" s="1"/>
  <c r="DN32" i="58" s="1"/>
  <c r="DN33" i="58" s="1"/>
  <c r="DN7" i="58" l="1"/>
  <c r="DN8" i="58" s="1"/>
  <c r="DO3" i="58" l="1"/>
  <c r="DO28" i="58" s="1"/>
  <c r="DO32" i="58" s="1"/>
  <c r="DO33" i="58" s="1"/>
  <c r="DO7" i="58" l="1"/>
  <c r="DO8" i="58" s="1"/>
  <c r="DP3" i="58" l="1"/>
  <c r="DP28" i="58" s="1"/>
  <c r="DP32" i="58" s="1"/>
  <c r="DP33" i="58" s="1"/>
  <c r="DP7" i="58" l="1"/>
  <c r="DP8" i="58" s="1"/>
  <c r="DQ3" i="58" l="1"/>
  <c r="DQ28" i="58" s="1"/>
  <c r="DQ32" i="58" s="1"/>
  <c r="DQ33" i="58" s="1"/>
  <c r="DQ7" i="58" l="1"/>
  <c r="DQ8" i="58" s="1"/>
  <c r="DR3" i="58" l="1"/>
  <c r="DR28" i="58" s="1"/>
  <c r="DR32" i="58" s="1"/>
  <c r="DR33" i="58" s="1"/>
  <c r="DR7" i="58" l="1"/>
  <c r="DR8" i="58" s="1"/>
  <c r="DS3" i="58" l="1"/>
  <c r="DS28" i="58" s="1"/>
  <c r="DS32" i="58" s="1"/>
  <c r="DS33" i="58" s="1"/>
  <c r="DS7" i="58" l="1"/>
  <c r="DS8" i="58" s="1"/>
  <c r="DT3" i="58" l="1"/>
  <c r="DT28" i="58" s="1"/>
  <c r="DT32" i="58" s="1"/>
  <c r="DT33" i="58" s="1"/>
  <c r="DT7" i="58" l="1"/>
  <c r="DT8" i="58" s="1"/>
  <c r="DU3" i="58" l="1"/>
  <c r="DU28" i="58" s="1"/>
  <c r="DU32" i="58" s="1"/>
  <c r="DU33" i="58" s="1"/>
  <c r="DU7" i="58" l="1"/>
  <c r="DU8" i="58" s="1"/>
  <c r="DV3" i="58" l="1"/>
  <c r="DV28" i="58" s="1"/>
  <c r="DV32" i="58" s="1"/>
  <c r="DV33" i="58" s="1"/>
  <c r="DV7" i="58" l="1"/>
  <c r="DV8" i="58" s="1"/>
  <c r="DW3" i="58" l="1"/>
  <c r="DW28" i="58" s="1"/>
  <c r="DW32" i="58" s="1"/>
  <c r="DW33" i="58" s="1"/>
  <c r="DW7" i="58" l="1"/>
  <c r="DW8" i="58" s="1"/>
  <c r="DX3" i="58" l="1"/>
  <c r="DX28" i="58" s="1"/>
  <c r="DX32" i="58" s="1"/>
  <c r="DX33" i="58" s="1"/>
  <c r="DX7" i="58" l="1"/>
  <c r="DX8" i="58" s="1"/>
  <c r="DY3" i="58" l="1"/>
  <c r="DY28" i="58" s="1"/>
  <c r="DY32" i="58" s="1"/>
  <c r="DY33" i="58" s="1"/>
  <c r="DY7" i="58" l="1"/>
  <c r="DY8" i="58" s="1"/>
  <c r="DZ3" i="58" l="1"/>
  <c r="DZ28" i="58" s="1"/>
  <c r="DZ32" i="58" s="1"/>
  <c r="DZ33" i="58" s="1"/>
  <c r="DZ7" i="58" l="1"/>
  <c r="DZ8" i="58" s="1"/>
  <c r="EA3" i="58" l="1"/>
  <c r="EA28" i="58" s="1"/>
  <c r="EA32" i="58" s="1"/>
  <c r="EA33" i="58" s="1"/>
  <c r="EA7" i="58" l="1"/>
  <c r="EA8" i="58" s="1"/>
  <c r="EB3" i="58" l="1"/>
  <c r="EB28" i="58" s="1"/>
  <c r="EB32" i="58" s="1"/>
  <c r="EB33" i="58" s="1"/>
  <c r="EB7" i="58" l="1"/>
  <c r="EB8" i="58" s="1"/>
  <c r="EC3" i="58" l="1"/>
  <c r="EC28" i="58" s="1"/>
  <c r="EC32" i="58" s="1"/>
  <c r="EC33" i="58" s="1"/>
  <c r="EC7" i="58" l="1"/>
  <c r="EC8" i="58" s="1"/>
  <c r="ED3" i="58" l="1"/>
  <c r="ED28" i="58" s="1"/>
  <c r="ED32" i="58" s="1"/>
  <c r="ED33" i="58" s="1"/>
  <c r="ED7" i="58" l="1"/>
  <c r="ED8" i="58" s="1"/>
  <c r="EE3" i="58" l="1"/>
  <c r="EE28" i="58" s="1"/>
  <c r="EE32" i="58" s="1"/>
  <c r="EE33" i="58" s="1"/>
  <c r="EE7" i="58" l="1"/>
  <c r="EE8" i="58" s="1"/>
  <c r="EF3" i="58" l="1"/>
  <c r="EF28" i="58" s="1"/>
  <c r="EF32" i="58" s="1"/>
  <c r="EF33" i="58" s="1"/>
  <c r="EF7" i="58" l="1"/>
  <c r="EF8" i="58" s="1"/>
  <c r="EG3" i="58" l="1"/>
  <c r="EG28" i="58" s="1"/>
  <c r="EG32" i="58" s="1"/>
  <c r="EG33" i="58" s="1"/>
  <c r="EG7" i="58" l="1"/>
  <c r="EG8" i="58" s="1"/>
  <c r="EH3" i="58" l="1"/>
  <c r="EH28" i="58" s="1"/>
  <c r="EH32" i="58" s="1"/>
  <c r="EH33" i="58" s="1"/>
  <c r="EH7" i="58" l="1"/>
  <c r="EH8" i="58" s="1"/>
  <c r="EI3" i="58" l="1"/>
  <c r="EI28" i="58" s="1"/>
  <c r="EI32" i="58" s="1"/>
  <c r="EI33" i="58" s="1"/>
  <c r="EI7" i="58" l="1"/>
  <c r="EI8" i="58" s="1"/>
  <c r="EJ3" i="58" l="1"/>
  <c r="EJ28" i="58" s="1"/>
  <c r="EJ32" i="58" s="1"/>
  <c r="EJ33" i="58" s="1"/>
  <c r="EJ7" i="58" l="1"/>
  <c r="EJ8" i="58" s="1"/>
  <c r="EK3" i="58" l="1"/>
  <c r="EK28" i="58" s="1"/>
  <c r="EK32" i="58" s="1"/>
  <c r="EK33" i="58" s="1"/>
  <c r="EK7" i="58" l="1"/>
  <c r="EK8" i="58" s="1"/>
  <c r="EL3" i="58" l="1"/>
  <c r="EL28" i="58" s="1"/>
  <c r="EL32" i="58" s="1"/>
  <c r="EL33" i="58" s="1"/>
  <c r="EL7" i="58" l="1"/>
  <c r="EL8" i="58" s="1"/>
  <c r="EM3" i="58" l="1"/>
  <c r="EM28" i="58" s="1"/>
  <c r="EM32" i="58" s="1"/>
  <c r="EM33" i="58" s="1"/>
  <c r="EM7" i="58" l="1"/>
  <c r="EM8" i="58" s="1"/>
  <c r="EN3" i="58" l="1"/>
  <c r="EN28" i="58" s="1"/>
  <c r="EN32" i="58" s="1"/>
  <c r="EN33" i="58" s="1"/>
  <c r="EN7" i="58" l="1"/>
  <c r="EN8" i="58" s="1"/>
  <c r="EO3" i="58" l="1"/>
  <c r="EO28" i="58" s="1"/>
  <c r="EO32" i="58" s="1"/>
  <c r="EO33" i="58" s="1"/>
  <c r="EO7" i="58" l="1"/>
  <c r="EO8" i="58" s="1"/>
  <c r="EP3" i="58" l="1"/>
  <c r="EP28" i="58" s="1"/>
  <c r="EP32" i="58" s="1"/>
  <c r="EP33" i="58" s="1"/>
  <c r="EP7" i="58" l="1"/>
  <c r="EP8" i="58" s="1"/>
  <c r="EQ3" i="58" l="1"/>
  <c r="EQ28" i="58" s="1"/>
  <c r="EQ32" i="58" s="1"/>
  <c r="EQ33" i="58" s="1"/>
  <c r="EQ7" i="58" l="1"/>
  <c r="EQ8" i="58" s="1"/>
  <c r="ER3" i="58" l="1"/>
  <c r="ER28" i="58" s="1"/>
  <c r="ER32" i="58" s="1"/>
  <c r="ER33" i="58" s="1"/>
  <c r="ER7" i="58" l="1"/>
  <c r="ER8" i="58" s="1"/>
  <c r="ES3" i="58" l="1"/>
  <c r="ES28" i="58" s="1"/>
  <c r="ES32" i="58" s="1"/>
  <c r="ES33" i="58" s="1"/>
  <c r="ES7" i="58" l="1"/>
  <c r="ES8" i="58" s="1"/>
  <c r="ET3" i="58" l="1"/>
  <c r="ET28" i="58" s="1"/>
  <c r="ET32" i="58" s="1"/>
  <c r="ET33" i="58" s="1"/>
  <c r="ET7" i="58" l="1"/>
  <c r="ET8" i="58" s="1"/>
  <c r="EU3" i="58" l="1"/>
  <c r="EU28" i="58" s="1"/>
  <c r="EU32" i="58" s="1"/>
  <c r="EU33" i="58" s="1"/>
  <c r="EU7" i="58" l="1"/>
  <c r="EU8" i="58" s="1"/>
  <c r="EV3" i="58" l="1"/>
  <c r="EV28" i="58" s="1"/>
  <c r="EV32" i="58" s="1"/>
  <c r="EV33" i="58" s="1"/>
  <c r="EV7" i="58" l="1"/>
  <c r="EV8" i="58" s="1"/>
  <c r="EW3" i="58" l="1"/>
  <c r="EW28" i="58" s="1"/>
  <c r="EW32" i="58" s="1"/>
  <c r="EW33" i="58" s="1"/>
  <c r="EW7" i="58" l="1"/>
  <c r="EW8" i="58" s="1"/>
  <c r="EX3" i="58" l="1"/>
  <c r="EX28" i="58" s="1"/>
  <c r="EX32" i="58" s="1"/>
  <c r="EX33" i="58" s="1"/>
  <c r="EX7" i="58" l="1"/>
  <c r="EX8" i="58" s="1"/>
  <c r="EY3" i="58" l="1"/>
  <c r="EY28" i="58" s="1"/>
  <c r="EY32" i="58" s="1"/>
  <c r="EY33" i="58" s="1"/>
  <c r="EY7" i="58" l="1"/>
  <c r="EY8" i="58" s="1"/>
  <c r="EZ3" i="58" l="1"/>
  <c r="EZ28" i="58" s="1"/>
  <c r="EZ32" i="58" s="1"/>
  <c r="EZ33" i="58" s="1"/>
  <c r="EZ7" i="58" l="1"/>
  <c r="EZ8" i="58" s="1"/>
  <c r="FA3" i="58" l="1"/>
  <c r="FA28" i="58" s="1"/>
  <c r="FA32" i="58" s="1"/>
  <c r="FA33" i="58" s="1"/>
  <c r="FA7" i="58" l="1"/>
  <c r="FA8" i="58" s="1"/>
  <c r="FB3" i="58" l="1"/>
  <c r="FB28" i="58" s="1"/>
  <c r="FB32" i="58" s="1"/>
  <c r="FB33" i="58" s="1"/>
  <c r="FB7" i="58" l="1"/>
  <c r="FB8" i="58" s="1"/>
  <c r="FC3" i="58" l="1"/>
  <c r="FC28" i="58" s="1"/>
  <c r="FC32" i="58" s="1"/>
  <c r="FC33" i="58" s="1"/>
  <c r="FC7" i="58" l="1"/>
  <c r="FC8" i="58" s="1"/>
  <c r="FD3" i="58" l="1"/>
  <c r="FD28" i="58" s="1"/>
  <c r="FD32" i="58" s="1"/>
  <c r="FD33" i="58" s="1"/>
  <c r="FD7" i="58" l="1"/>
  <c r="FD8" i="58" s="1"/>
  <c r="FE3" i="58" l="1"/>
  <c r="FE28" i="58" s="1"/>
  <c r="FE32" i="58" s="1"/>
  <c r="FE33" i="58" s="1"/>
  <c r="FE7" i="58" l="1"/>
  <c r="FE8" i="58" s="1"/>
  <c r="FF3" i="58" l="1"/>
  <c r="FF28" i="58" s="1"/>
  <c r="FF32" i="58" s="1"/>
  <c r="FF33" i="58" s="1"/>
  <c r="FF7" i="58" l="1"/>
  <c r="FF8" i="58" s="1"/>
  <c r="FG3" i="58" l="1"/>
  <c r="FG28" i="58" s="1"/>
  <c r="FG32" i="58" s="1"/>
  <c r="FG33" i="58" s="1"/>
  <c r="FG7" i="58" l="1"/>
  <c r="FG8" i="58" s="1"/>
  <c r="FH3" i="58" l="1"/>
  <c r="FH28" i="58" s="1"/>
  <c r="FH32" i="58" s="1"/>
  <c r="FH33" i="58" s="1"/>
  <c r="FH7" i="58" l="1"/>
  <c r="FH8" i="58" s="1"/>
  <c r="FI3" i="58" l="1"/>
  <c r="FI28" i="58" s="1"/>
  <c r="FI32" i="58" s="1"/>
  <c r="FI33" i="58" s="1"/>
  <c r="FI7" i="58" l="1"/>
  <c r="FI8" i="58" s="1"/>
  <c r="FJ3" i="58" l="1"/>
  <c r="FJ28" i="58" s="1"/>
  <c r="FJ32" i="58" s="1"/>
  <c r="FJ33" i="58" s="1"/>
  <c r="FJ7" i="58" l="1"/>
  <c r="FJ8" i="58" s="1"/>
  <c r="FK3" i="58" l="1"/>
  <c r="FK28" i="58" s="1"/>
  <c r="FK32" i="58" s="1"/>
  <c r="FK33" i="58" s="1"/>
  <c r="FK7" i="58" l="1"/>
  <c r="FK8" i="58" s="1"/>
  <c r="FL3" i="58" l="1"/>
  <c r="FL28" i="58" s="1"/>
  <c r="FL32" i="58" s="1"/>
  <c r="FL33" i="58" s="1"/>
  <c r="FL7" i="58" l="1"/>
  <c r="FL8" i="58" s="1"/>
  <c r="FM3" i="58" l="1"/>
  <c r="FM28" i="58" s="1"/>
  <c r="FM32" i="58" s="1"/>
  <c r="FM33" i="58" s="1"/>
  <c r="FM7" i="58" l="1"/>
  <c r="FM8" i="58" s="1"/>
  <c r="FN3" i="58" l="1"/>
  <c r="FN28" i="58" s="1"/>
  <c r="FN32" i="58" s="1"/>
  <c r="FN33" i="58" s="1"/>
  <c r="FN7" i="58" l="1"/>
  <c r="FN8" i="58" s="1"/>
  <c r="FO3" i="58" l="1"/>
  <c r="FO28" i="58" s="1"/>
  <c r="FO32" i="58" s="1"/>
  <c r="FO33" i="58" s="1"/>
  <c r="FO7" i="58" l="1"/>
  <c r="FO8" i="5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Murat Kastayev</author>
  </authors>
  <commentList>
    <comment ref="A15" authorId="0" shapeId="0" xr:uid="{760B5CFF-C24E-4542-B8BE-FABA74CB24C2}">
      <text>
        <r>
          <rPr>
            <b/>
            <sz val="9"/>
            <color indexed="81"/>
            <rFont val="Tahoma"/>
            <family val="2"/>
          </rPr>
          <t>10-летние облигации Минфина РК от 16.08.23</t>
        </r>
      </text>
    </comment>
  </commentList>
</comments>
</file>

<file path=xl/sharedStrings.xml><?xml version="1.0" encoding="utf-8"?>
<sst xmlns="http://schemas.openxmlformats.org/spreadsheetml/2006/main" count="502" uniqueCount="361">
  <si>
    <t>Срок окупаемости, лет</t>
  </si>
  <si>
    <t>+ Амортизация</t>
  </si>
  <si>
    <t>Свободный денежный поток</t>
  </si>
  <si>
    <t>Накопленный денежный поток</t>
  </si>
  <si>
    <t>Макроэкономические предпосылки:</t>
  </si>
  <si>
    <t>Рост ВВП Казахстана</t>
  </si>
  <si>
    <t>Инфляция в Казахстане</t>
  </si>
  <si>
    <t>Ставка амортизации</t>
  </si>
  <si>
    <t>Расчет ставки дисконтирования:</t>
  </si>
  <si>
    <t>Средняя инфляция в РК</t>
  </si>
  <si>
    <t>Доходность инвестирования в акции РК</t>
  </si>
  <si>
    <t>Коэффициент непубличности компании</t>
  </si>
  <si>
    <t>Ставка дисконтирования собственного капитала</t>
  </si>
  <si>
    <t>Ставка доходности заемного капитала</t>
  </si>
  <si>
    <t>Собственный капитал, тенге</t>
  </si>
  <si>
    <t>Доля собственного капитала</t>
  </si>
  <si>
    <t>Доля привлеченного/заемного капитала</t>
  </si>
  <si>
    <t>Ставка</t>
  </si>
  <si>
    <t>Вес</t>
  </si>
  <si>
    <t>Итого</t>
  </si>
  <si>
    <t>Ставка дисконтирования методом WACC</t>
  </si>
  <si>
    <t>Ставка дисконтирования кумулятивная</t>
  </si>
  <si>
    <t>Базовая ставка Нацбанка РК</t>
  </si>
  <si>
    <t>Ставка дисконтирования средневзвешенная</t>
  </si>
  <si>
    <t>КАПИТАЛЬНЫЕ ЗАТРАТЫ И АМОРТИЗАЦИЯ</t>
  </si>
  <si>
    <t>в тенге</t>
  </si>
  <si>
    <t>ИТОГО:</t>
  </si>
  <si>
    <t>Итого:</t>
  </si>
  <si>
    <t>График амортизационных отчислений</t>
  </si>
  <si>
    <t>Валовые затраты по основным средствам</t>
  </si>
  <si>
    <t>минус накопленная амортизация</t>
  </si>
  <si>
    <t>Чистые затраты по основным средствам</t>
  </si>
  <si>
    <t>Амортизационные отчисления</t>
  </si>
  <si>
    <t>Отчет о прибылях и убытках</t>
  </si>
  <si>
    <t>Рабочих месяцев</t>
  </si>
  <si>
    <t xml:space="preserve">ВЫРУЧКА </t>
  </si>
  <si>
    <t>СЕБЕСТОИМОСТЬ ПРОДУКЦИИ</t>
  </si>
  <si>
    <t>ВАЛОВАЯ ПРИБЫЛЬ</t>
  </si>
  <si>
    <t>ИТОГО ОПЕРАЦИОННЫЕ РАСХОДЫ</t>
  </si>
  <si>
    <t>Прибыль до вычета вознаграждения, амортизации и налога на прибыль</t>
  </si>
  <si>
    <t>Прибыль до вычета налога на прибыль</t>
  </si>
  <si>
    <t>ЧИСТАЯ ПРИБЫЛЬ</t>
  </si>
  <si>
    <t>Показатель</t>
  </si>
  <si>
    <t>Валовая рентабельность</t>
  </si>
  <si>
    <t>Переменные расходы к выручке</t>
  </si>
  <si>
    <t>Постоянные расходы к выручке</t>
  </si>
  <si>
    <t>Итого расходы к выручке</t>
  </si>
  <si>
    <t>Чистая прибыль к выручке</t>
  </si>
  <si>
    <t>Маржинальный доход</t>
  </si>
  <si>
    <t>Коэффициент маржинального дохода</t>
  </si>
  <si>
    <t>Точка безубыточности, тенге</t>
  </si>
  <si>
    <t>Запас финансовой прочности</t>
  </si>
  <si>
    <t>ПРОГНОЗ ДВИЖЕНИЯ ДЕНЕЖНЫХ СРЕДСТВ</t>
  </si>
  <si>
    <t>Отчет о движении денежных средств</t>
  </si>
  <si>
    <t>ОПЕРАЦИОННАЯ ДЕЯТЕЛЬНОСТЬ</t>
  </si>
  <si>
    <t>Операционная прибыль</t>
  </si>
  <si>
    <t>Денежный поток от операционной деятельности</t>
  </si>
  <si>
    <t>ИНВЕСТИЦИОННАЯ ДЕЯТЕЛЬНОСТЬ</t>
  </si>
  <si>
    <t>Привлечение инвестиций</t>
  </si>
  <si>
    <t>Кап.вложения и стартовые инвестиции</t>
  </si>
  <si>
    <t>Денежный поток от инвестиционной деятельности</t>
  </si>
  <si>
    <t>ФИНАНСОВАЯ ДЕЯТЕЛЬНОСТЬ</t>
  </si>
  <si>
    <t>Привлечение займов</t>
  </si>
  <si>
    <t>Выплата кредита</t>
  </si>
  <si>
    <t>Денежный поток от финансовой деятельности</t>
  </si>
  <si>
    <t>ДЕНЕЖНАЯ ПОЗИЦИЯ</t>
  </si>
  <si>
    <t>Остатки денежных средств на начало периода</t>
  </si>
  <si>
    <t>Изменение денежных средств в течение периода</t>
  </si>
  <si>
    <t>Остаток денежных средств на конец периода, тенге</t>
  </si>
  <si>
    <t>Анализ приведенной стоимости</t>
  </si>
  <si>
    <t>- Инвестиции</t>
  </si>
  <si>
    <t>Коэффициент дисконтирования</t>
  </si>
  <si>
    <t>Дисконтированный денежный поток</t>
  </si>
  <si>
    <t>NPV</t>
  </si>
  <si>
    <t>Продленная стоимость</t>
  </si>
  <si>
    <t>NPV / ЧПС</t>
  </si>
  <si>
    <t>Приведенная продленная стоимость</t>
  </si>
  <si>
    <t>IRR</t>
  </si>
  <si>
    <t>ARR</t>
  </si>
  <si>
    <t>PI</t>
  </si>
  <si>
    <t>Дисконтированный срок окупаемости, лет</t>
  </si>
  <si>
    <t>Ставка дисконтирования</t>
  </si>
  <si>
    <t>Долгосрочный темп роста</t>
  </si>
  <si>
    <t>Сумма кредита:</t>
  </si>
  <si>
    <t>Процентная ставка, в год</t>
  </si>
  <si>
    <t>Процентная ставка, в месяц</t>
  </si>
  <si>
    <t>Остаток основного долга</t>
  </si>
  <si>
    <t>Выплата ОД</t>
  </si>
  <si>
    <t>Процентное вознаграждение</t>
  </si>
  <si>
    <t>Итого платеж по кредиту</t>
  </si>
  <si>
    <t>Проценты по кредиту</t>
  </si>
  <si>
    <t>Накопленная прибыль</t>
  </si>
  <si>
    <t>в т.ч. НДС</t>
  </si>
  <si>
    <t>НДС к уплате</t>
  </si>
  <si>
    <t>Ставка подоходного налога</t>
  </si>
  <si>
    <t>Подоходный налог</t>
  </si>
  <si>
    <t>Курс евро к тенге</t>
  </si>
  <si>
    <t>Инфляция в еврозоне</t>
  </si>
  <si>
    <t>Финансовые предпосылки</t>
  </si>
  <si>
    <t>Операционные предпосылки</t>
  </si>
  <si>
    <t>в евро</t>
  </si>
  <si>
    <t>ОПЕРАЦИОННЫЙ ПЛАН</t>
  </si>
  <si>
    <t>КАЛЕНДАРНЫЙ ПЛАН ПРОЕКТА</t>
  </si>
  <si>
    <t>Получение ОД</t>
  </si>
  <si>
    <t>Получение субсидий</t>
  </si>
  <si>
    <t>Субсидии</t>
  </si>
  <si>
    <t>Возмещение инвестиционных затрат на оборудование и технику</t>
  </si>
  <si>
    <t>Затраты</t>
  </si>
  <si>
    <t>% возмещения</t>
  </si>
  <si>
    <t>Сумма к возмещению</t>
  </si>
  <si>
    <t>Бета отрасли сельского хозяйства</t>
  </si>
  <si>
    <t>ИТОГО</t>
  </si>
  <si>
    <t>Срок кредита, месяцев</t>
  </si>
  <si>
    <t>Отсрочка по основному долгу, месяцев</t>
  </si>
  <si>
    <t>Отсрочка по выплате процентов, месяцев</t>
  </si>
  <si>
    <t>Курс доллара к тенге</t>
  </si>
  <si>
    <t>Инфляция в США</t>
  </si>
  <si>
    <t>Мощность овощехранилища, тонн, в т.ч.</t>
  </si>
  <si>
    <t>картофель</t>
  </si>
  <si>
    <t>морковь</t>
  </si>
  <si>
    <t>лук</t>
  </si>
  <si>
    <t>капуста</t>
  </si>
  <si>
    <t>в долларах</t>
  </si>
  <si>
    <t>Наименование затрат</t>
  </si>
  <si>
    <t>Оборудование</t>
  </si>
  <si>
    <t>Строительно-монтажные работы</t>
  </si>
  <si>
    <t>Курс евро к доллару</t>
  </si>
  <si>
    <t>Наименование работ</t>
  </si>
  <si>
    <t>Разработка эскизного проекта</t>
  </si>
  <si>
    <t>Разработка рабочего проекта</t>
  </si>
  <si>
    <t>Экспертиза проекта</t>
  </si>
  <si>
    <t>Заключение договоров с поставщиками оборудования</t>
  </si>
  <si>
    <t>Изготовление оборудования</t>
  </si>
  <si>
    <t>Подготовка техзадания на инжиниринг и технологическое предложение</t>
  </si>
  <si>
    <t>Разработка ТЭО</t>
  </si>
  <si>
    <t>Поставка и монтаж оборудования</t>
  </si>
  <si>
    <t>Запуск овощехранилища</t>
  </si>
  <si>
    <t>Заполнение овощехранилища</t>
  </si>
  <si>
    <t>Остаток картофеля на начало месяца, тонн</t>
  </si>
  <si>
    <t>Остаток моркови на начало месяца, тонн</t>
  </si>
  <si>
    <t>Остаток лука на начало месяца, тонн</t>
  </si>
  <si>
    <t>Остаток капусты на начало месяца, тонн</t>
  </si>
  <si>
    <t>Загруженность овощехранилища</t>
  </si>
  <si>
    <t>Прием картофеля в течение месяца, тонн</t>
  </si>
  <si>
    <t>Прием моркови в течение месяца, тонн</t>
  </si>
  <si>
    <t>Прием лука в течение месяца, тонн</t>
  </si>
  <si>
    <t>Прием капусты в течение месяца, тонн</t>
  </si>
  <si>
    <t>Итого прием овощей, тонн</t>
  </si>
  <si>
    <t>Итого овощей, тонн</t>
  </si>
  <si>
    <t>Продажи картофеля в течение месяца, тонн</t>
  </si>
  <si>
    <t>Продажи моркови в течение месяца, тонн</t>
  </si>
  <si>
    <t>Продажи лука в течение месяца, тонн</t>
  </si>
  <si>
    <t>Продажи капусты в течение месяца, тонн</t>
  </si>
  <si>
    <t>Остаток картофеля на конец месяца, тонн</t>
  </si>
  <si>
    <t>Остаток моркови на конец месяца, тонн</t>
  </si>
  <si>
    <t>Остаток лука на конец месяца, тонн</t>
  </si>
  <si>
    <t>Остаток капусты на конец месяца, тонн</t>
  </si>
  <si>
    <t>Итого продажи овощей, тонн</t>
  </si>
  <si>
    <t>СРЕДНИЕ ЦЕНЫ НА ПРОДУКЦИЮ</t>
  </si>
  <si>
    <t>Цены на картофель</t>
  </si>
  <si>
    <t>Цены на морковь</t>
  </si>
  <si>
    <t>Цены на лук</t>
  </si>
  <si>
    <t>Цены на капусту</t>
  </si>
  <si>
    <t>Разница цены закупа от розничной цены</t>
  </si>
  <si>
    <t>Разница цены продажи от розничной цены</t>
  </si>
  <si>
    <t>Реализация картофеля</t>
  </si>
  <si>
    <t>Реализация моркови</t>
  </si>
  <si>
    <t>Реализация лука</t>
  </si>
  <si>
    <t>Реализация капусты</t>
  </si>
  <si>
    <t>Закуп картофеля</t>
  </si>
  <si>
    <t>Закуп моркови</t>
  </si>
  <si>
    <t>Закуп лука</t>
  </si>
  <si>
    <t>Закуп капусты</t>
  </si>
  <si>
    <t>Расходы на электроэнергию</t>
  </si>
  <si>
    <t>Фонд оплаты труда</t>
  </si>
  <si>
    <t>ШТАТНОЕ РАСПИСАНИЕ</t>
  </si>
  <si>
    <t>№ п/п</t>
  </si>
  <si>
    <t>Наименование должностей</t>
  </si>
  <si>
    <t>Количество штатных единиц</t>
  </si>
  <si>
    <t>Должностной оклад</t>
  </si>
  <si>
    <t>Месячный фонд з/п</t>
  </si>
  <si>
    <t>Годовой фонд з/п</t>
  </si>
  <si>
    <t>Механик</t>
  </si>
  <si>
    <t>Заведующий складом</t>
  </si>
  <si>
    <t>Менеджер по закупкам</t>
  </si>
  <si>
    <t>Менеджер по продажам</t>
  </si>
  <si>
    <t>Водитель-экспедитор</t>
  </si>
  <si>
    <t>Охранник</t>
  </si>
  <si>
    <t>Разнорабочий/уборщик</t>
  </si>
  <si>
    <t>Главный технолог</t>
  </si>
  <si>
    <t>Главный инженер</t>
  </si>
  <si>
    <t>Административный персонал</t>
  </si>
  <si>
    <t>Производственный персонал</t>
  </si>
  <si>
    <t>Вспомогательный персонал</t>
  </si>
  <si>
    <t>Операторы производственного оборудования</t>
  </si>
  <si>
    <t>Сортировщик</t>
  </si>
  <si>
    <t>Менеджер по входящей логистике</t>
  </si>
  <si>
    <t>Менеджер по исходящей логистике</t>
  </si>
  <si>
    <t>Грузчик</t>
  </si>
  <si>
    <t>Налоги на ФОТ</t>
  </si>
  <si>
    <t>Расходы на маркетинг</t>
  </si>
  <si>
    <t>Расходы на маркетинг, % от валовой прибыли</t>
  </si>
  <si>
    <t>Прочие коммунальные расходы</t>
  </si>
  <si>
    <t>Потери картофеля, тонн</t>
  </si>
  <si>
    <t>Потери моркови, тонн</t>
  </si>
  <si>
    <t>Потери лука, тонн</t>
  </si>
  <si>
    <t>Потери капусты, тонн</t>
  </si>
  <si>
    <t>Итого потери овощей, тонн</t>
  </si>
  <si>
    <t>Процент потерь/порчи овощей</t>
  </si>
  <si>
    <t>Капитальные затраты</t>
  </si>
  <si>
    <t>Оборотный капитал</t>
  </si>
  <si>
    <t>Расходы на ГСМ и обслуживание авто</t>
  </si>
  <si>
    <t>Итого инвестиции в проект, тенге</t>
  </si>
  <si>
    <t>Итого инвестиции в проект, евро</t>
  </si>
  <si>
    <t>Эксплуатационные издержки</t>
  </si>
  <si>
    <t>Прочие издержки</t>
  </si>
  <si>
    <t>Общая стоимость проекта за 2023-2033гг., тенге</t>
  </si>
  <si>
    <t>Общая стоимость проекта за 2023-2033гг., долларов</t>
  </si>
  <si>
    <t>Общая стоимость проекта за 2023-2033гг., евро</t>
  </si>
  <si>
    <t>Картофель</t>
  </si>
  <si>
    <t>Морковь</t>
  </si>
  <si>
    <t>Лук</t>
  </si>
  <si>
    <t>Капуста</t>
  </si>
  <si>
    <t>Сезонная динамика цен</t>
  </si>
  <si>
    <t>Максимальная сумма субсидий на строительство, на 1 тонну мощности (85 225 тенге/тонна)</t>
  </si>
  <si>
    <t>Республика Казахстан</t>
  </si>
  <si>
    <t>Абай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</si>
  <si>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</si>
  <si>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</si>
  <si>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</si>
  <si>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</si>
  <si>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</si>
  <si>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</si>
  <si>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</si>
  <si>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</si>
  <si>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</si>
  <si>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</si>
  <si>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</si>
  <si>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</si>
  <si>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</si>
  <si>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</si>
  <si>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</t>
  </si>
  <si>
    <t>Восточно-Казахстанская</t>
  </si>
  <si>
    <t>Астана</t>
  </si>
  <si>
    <t>Алматы</t>
  </si>
  <si>
    <t>Шымкент</t>
  </si>
  <si>
    <t>в квартал</t>
  </si>
  <si>
    <t>в год</t>
  </si>
  <si>
    <t>Овощи</t>
  </si>
  <si>
    <t>Потребление овощей в РК, кг/на душу населения</t>
  </si>
  <si>
    <t>Население</t>
  </si>
  <si>
    <t>Объем рынка, тонн</t>
  </si>
  <si>
    <t>Потребление овощей в РК в разрезе культур, кг/на душу населения</t>
  </si>
  <si>
    <t>квартал</t>
  </si>
  <si>
    <t>год</t>
  </si>
  <si>
    <t>итого по стране</t>
  </si>
  <si>
    <t>тонн/год</t>
  </si>
  <si>
    <t>Доля от Алматы</t>
  </si>
  <si>
    <t>Наш проект</t>
  </si>
  <si>
    <t>Овощехранилище</t>
  </si>
  <si>
    <t>Строительные предпосылки</t>
  </si>
  <si>
    <t>Площадь</t>
  </si>
  <si>
    <t>Цена</t>
  </si>
  <si>
    <t>Стоимость</t>
  </si>
  <si>
    <t>Весы</t>
  </si>
  <si>
    <t>КПП овощи</t>
  </si>
  <si>
    <t>КПП СВХ</t>
  </si>
  <si>
    <t>СВХ 1</t>
  </si>
  <si>
    <t>СВХ 2</t>
  </si>
  <si>
    <t>Площадка для контейнеров</t>
  </si>
  <si>
    <t>Парковка 1</t>
  </si>
  <si>
    <t>Парковка 2</t>
  </si>
  <si>
    <t>Асфальтированная дорога</t>
  </si>
  <si>
    <t>Железная дорога</t>
  </si>
  <si>
    <t>Тепловоз</t>
  </si>
  <si>
    <t>Спецтехника (краны, погрузчики)</t>
  </si>
  <si>
    <t>Реконструкция существующих ж/д путей</t>
  </si>
  <si>
    <t>Непредвиденные расходы</t>
  </si>
  <si>
    <t>овощехранилище</t>
  </si>
  <si>
    <t>вспомогательные помещения</t>
  </si>
  <si>
    <t>инфраструктура</t>
  </si>
  <si>
    <t>Спецтехника</t>
  </si>
  <si>
    <t>вентиляционное оборудование</t>
  </si>
  <si>
    <t>холодильное оборудование</t>
  </si>
  <si>
    <t>дополнительные части и автоматика</t>
  </si>
  <si>
    <t>оборудование для приемки и сортировки овощей</t>
  </si>
  <si>
    <t>проектирование и монтажные работы</t>
  </si>
  <si>
    <t>транспортные расходы</t>
  </si>
  <si>
    <t>Расходы на логистику</t>
  </si>
  <si>
    <t>Тара, 21 000 контейнеров</t>
  </si>
  <si>
    <t>КРЕДИТ</t>
  </si>
  <si>
    <t>Банковский займ</t>
  </si>
  <si>
    <t>Ставка НДС</t>
  </si>
  <si>
    <t>Общежитие + столовая + комната отдыха</t>
  </si>
  <si>
    <t>Непредвиденные расходы (1%)</t>
  </si>
  <si>
    <t>Внешние сети и коммуникации</t>
  </si>
  <si>
    <t>внешние сети и коммуникации</t>
  </si>
  <si>
    <t>Площадь СВХ под аренду, кв.м.</t>
  </si>
  <si>
    <t>Процент загруженности СВХ</t>
  </si>
  <si>
    <t>Чистый доход от СВХ</t>
  </si>
  <si>
    <t>Площадь под хранение техники, кв.м.</t>
  </si>
  <si>
    <t>Чистый доход от хранения техники</t>
  </si>
  <si>
    <t>Субсидии к сумме кредита</t>
  </si>
  <si>
    <t>Погашение кредита</t>
  </si>
  <si>
    <t>Наименование</t>
  </si>
  <si>
    <t>Приобретение земельного участка</t>
  </si>
  <si>
    <t>Итоговый NPV проекта</t>
  </si>
  <si>
    <t>Прокладка кабеля 15км</t>
  </si>
  <si>
    <t>3 электрогенератора</t>
  </si>
  <si>
    <t>Модернизация СВХ</t>
  </si>
  <si>
    <t>Дополнительные ж/д пути 400м</t>
  </si>
  <si>
    <t>Посев картофеля на 500га земли</t>
  </si>
  <si>
    <t>Итого 2023-2038</t>
  </si>
  <si>
    <t>Реализация собственного картофеля</t>
  </si>
  <si>
    <t>Чистая прибыль от реализации своего картофеля</t>
  </si>
  <si>
    <t>в тенге с НДС</t>
  </si>
  <si>
    <t>НДС, начисленный с поступлений</t>
  </si>
  <si>
    <t>Обороты по НДС</t>
  </si>
  <si>
    <t>НДС к уплате в бюджет</t>
  </si>
  <si>
    <t>Расчет НДС</t>
  </si>
  <si>
    <t xml:space="preserve">НДС в зачет, уплаченный с капитальных затрат </t>
  </si>
  <si>
    <t xml:space="preserve">НДС в зачет, уплаченный с операционных затрат </t>
  </si>
  <si>
    <t>Генеральный директор</t>
  </si>
  <si>
    <t>Вице-президент</t>
  </si>
  <si>
    <t>Директор по развитию</t>
  </si>
  <si>
    <t>Финансовый директор</t>
  </si>
  <si>
    <t>Директор по закупкам и логистике</t>
  </si>
  <si>
    <t>Директор по безопасности</t>
  </si>
  <si>
    <t>Руководящий персонал</t>
  </si>
  <si>
    <t>Главный бухгалтер</t>
  </si>
  <si>
    <t>Менеджер по маркетингу</t>
  </si>
  <si>
    <t>Специалист контроля качества</t>
  </si>
  <si>
    <t>Тариф на электроэнергию, $/кВт.ч</t>
  </si>
  <si>
    <t>Ставка аренды СВХ, $/кв.м.</t>
  </si>
  <si>
    <t>Чистый доход от СВХ, $/месяц</t>
  </si>
  <si>
    <t>Чистый доход от хранения, $/месяц</t>
  </si>
  <si>
    <t>Прочие коммунальные расходы, $/мес.</t>
  </si>
  <si>
    <t>Расходы на ГСМ и обслуживание авто, $/мес.</t>
  </si>
  <si>
    <t>Офисные и хозяйственные расходы, $/мес</t>
  </si>
  <si>
    <t>в долларах США</t>
  </si>
  <si>
    <t>Стоимость закупа картофеля</t>
  </si>
  <si>
    <t>Стоимость закупа моркови</t>
  </si>
  <si>
    <t>Стоимость закупа капусты</t>
  </si>
  <si>
    <t>Стоимость закупа лука</t>
  </si>
  <si>
    <t>Стоимость реализации картофеля</t>
  </si>
  <si>
    <t>Стоимость реализации моркови</t>
  </si>
  <si>
    <t>Стоимость реализации лука</t>
  </si>
  <si>
    <t>Стоимость реализации капусты</t>
  </si>
  <si>
    <t>Доходность 10-летних гособлигаций РК</t>
  </si>
  <si>
    <t>КАЗАХСТАН</t>
  </si>
  <si>
    <t>RUB</t>
  </si>
  <si>
    <t>USD</t>
  </si>
  <si>
    <t>РОССИЯ / КАЗАХСТАН</t>
  </si>
  <si>
    <t>KZT</t>
  </si>
  <si>
    <t>Разница</t>
  </si>
  <si>
    <t>В среднем:</t>
  </si>
  <si>
    <t>Электрические вилочные погрузчики, 7 ед.</t>
  </si>
  <si>
    <t>Приобретение фур (150 ед.) + холодильные камеры</t>
  </si>
  <si>
    <t>Доходность 10- и 20-летних гособлигаций США</t>
  </si>
  <si>
    <t>Рассмотрение и анализ проекта инвесторами и кредиторами, выделение финансирования</t>
  </si>
  <si>
    <t>Наша наценка: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</si>
</sst>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43" formatCode="_-* #,##0.00_-;\-* #,##0.00_-;_-* &quot;-&quot;??_-;_-@_-"/>
    <numFmt numFmtId="164" formatCode="&quot;£&quot;#,##0;[Red]\-&quot;£&quot;#,##0"/>
    <numFmt numFmtId="165" formatCode="_-&quot;£&quot;* #,##0_-;\-&quot;£&quot;* #,##0_-;_-&quot;£&quot;* &quot;-&quot;_-;_-@_-"/>
    <numFmt numFmtId="166" formatCode="_-&quot;£&quot;* #,##0.00_-;\-&quot;£&quot;* #,##0.00_-;_-&quot;£&quot;* &quot;-&quot;??_-;_-@_-"/>
    <numFmt numFmtId="167" formatCode="_-* #,##0_р_._-;\-* #,##0_р_._-;_-* &quot;-&quot;_р_._-;_-@_-"/>
    <numFmt numFmtId="168" formatCode="_-* #,##0.00_р_._-;\-* #,##0.00_р_._-;_-* &quot;-&quot;??_р_._-;_-@_-"/>
    <numFmt numFmtId="169" formatCode="0.0%"/>
    <numFmt numFmtId="170" formatCode="_(* #,##0_);_(* \(#,##0\);_(* &quot;-&quot;??_);_(@_)"/>
    <numFmt numFmtId="171" formatCode="_-* #,##0.00_$_-;\-* #,##0.00_$_-;_-* &quot;-&quot;??_$_-;_-@_-"/>
    <numFmt numFmtId="172" formatCode="#,##0;[Red]#,##0"/>
    <numFmt numFmtId="173" formatCode="&quot;\&quot;#,##0;[Red]\-&quot;\&quot;#,##0"/>
    <numFmt numFmtId="174" formatCode="\£#,##0_);\(\£#,##0\)"/>
    <numFmt numFmtId="175" formatCode="_(* #,##0.00_);[Red]_(* \(#,##0.00\);_(* &quot;-&quot;??_);_(@_)"/>
    <numFmt numFmtId="176" formatCode="&quot;£&quot;#,##0\ ;\(&quot;£&quot;#,##0\)"/>
    <numFmt numFmtId="177" formatCode="_-* #,##0.00\ _D_M_-;\-* #,##0.00\ _D_M_-;_-* &quot;-&quot;??\ _D_M_-;_-@_-"/>
    <numFmt numFmtId="178" formatCode="0.0\x"/>
    <numFmt numFmtId="179" formatCode="#,##0.0_);[Red]\(#,##0.0\)"/>
    <numFmt numFmtId="180" formatCode="_-* #,##0_-;_-* #,##0\-;_-* &quot;-&quot;_-;_-@_-"/>
    <numFmt numFmtId="181" formatCode="_-* #,##0.00_-;_-* #,##0.00\-;_-* &quot;-&quot;??_-;_-@_-"/>
    <numFmt numFmtId="182" formatCode="#,##0;[Red]&quot;-&quot;#,##0"/>
    <numFmt numFmtId="183" formatCode="_-* #,##0\ _$_-;\-* #,##0\ _$_-;_-* &quot;-&quot;\ _$_-;_-@_-"/>
    <numFmt numFmtId="184" formatCode="_-* #,##0.00\ _$_-;\-* #,##0.00\ _$_-;_-* &quot;-&quot;??\ _$_-;_-@_-"/>
    <numFmt numFmtId="185" formatCode="_-* #,##0\ &quot;£&quot;_-;\-* #,##0\ &quot;£&quot;_-;_-* &quot;-&quot;\ &quot;£&quot;_-;_-@_-"/>
    <numFmt numFmtId="186" formatCode="_-* #,##0.00\ &quot;£&quot;_-;\-* #,##0.00\ &quot;£&quot;_-;_-* &quot;-&quot;??\ &quot;£&quot;_-;_-@_-"/>
    <numFmt numFmtId="187" formatCode="_(* #,##0.000_);[Red]_(* \(#,##0.000\);_(* &quot;-&quot;??_);_(@_)"/>
    <numFmt numFmtId="188" formatCode="&quot;£&quot;#,##0.0_);\(&quot;£&quot;#,##0.0\)"/>
    <numFmt numFmtId="189" formatCode="0.00\x"/>
    <numFmt numFmtId="190" formatCode="0.0000"/>
    <numFmt numFmtId="191" formatCode="_-&quot;F&quot;\ * #,##0_-;_-&quot;F&quot;\ * #,##0\-;_-&quot;F&quot;\ * &quot;-&quot;_-;_-@_-"/>
    <numFmt numFmtId="192" formatCode="_-&quot;F&quot;\ * #,##0.00_-;_-&quot;F&quot;\ * #,##0.00\-;_-&quot;F&quot;\ * &quot;-&quot;??_-;_-@_-"/>
    <numFmt numFmtId="193" formatCode="\¥#,##0_);\(\¥#,##0\)"/>
    <numFmt numFmtId="194" formatCode="[$$-409]#,##0"/>
    <numFmt numFmtId="195" formatCode="0.000%"/>
    <numFmt numFmtId="196" formatCode="#,##0.0"/>
    <numFmt numFmtId="197" formatCode="_(* #,##0.0_);_(* \(#,##0.0\);_(* &quot;-&quot;??_);_(@_)"/>
    <numFmt numFmtId="198" formatCode="[$€-2]\ #,##0"/>
    <numFmt numFmtId="199" formatCode="_(* #,##0.00_);_(* \(#,##0.00\);_(* &quot;-&quot;??_);_(@_)"/>
    <numFmt numFmtId="200" formatCode="[$$-4809]#,##0.00"/>
    <numFmt numFmtId="201" formatCode="[$$-4809]#,##0"/>
    <numFmt numFmtId="202" formatCode="[$$-409]#,##0.00"/>
    <numFmt numFmtId="203" formatCode="_-* #,##0.000_-;\-* #,##0.000_-;_-* &quot;-&quot;??_-;_-@_-"/>
  </numFmts>
  <fonts count="1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8"/>
      <name val="Helv"/>
      <charset val="204"/>
    </font>
    <font>
      <sz val="12"/>
      <name val="Times New Roman"/>
      <family val="1"/>
    </font>
    <font>
      <sz val="8"/>
      <name val="Times"/>
    </font>
    <font>
      <sz val="12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</font>
    <font>
      <u val="doubleAccounting"/>
      <sz val="1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/>
      <sz val="9"/>
      <color indexed="12"/>
      <name val="Arial"/>
      <family val="2"/>
    </font>
    <font>
      <u/>
      <sz val="9"/>
      <color indexed="36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sz val="10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 Cyr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u/>
      <sz val="8"/>
      <color indexed="8"/>
      <name val="Arial"/>
      <family val="2"/>
    </font>
    <font>
      <b/>
      <i/>
      <sz val="8"/>
      <name val="Helv"/>
    </font>
    <font>
      <sz val="10"/>
      <name val="Helv"/>
    </font>
    <font>
      <sz val="12"/>
      <name val="宋体"/>
      <charset val="134"/>
    </font>
    <font>
      <u/>
      <sz val="9.6"/>
      <color theme="10"/>
      <name val="宋体"/>
      <charset val="13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0033CC"/>
      <name val="Calibri"/>
      <family val="2"/>
      <charset val="204"/>
      <scheme val="minor"/>
    </font>
    <font>
      <b/>
      <sz val="12"/>
      <color rgb="FF0033CC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lightGray">
        <fgColor indexed="15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</borders>
  <cellStyleXfs count="211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12" borderId="3" applyNumberFormat="0" applyAlignment="0" applyProtection="0"/>
    <xf numFmtId="0" fontId="11" fillId="25" borderId="4" applyNumberFormat="0" applyAlignment="0" applyProtection="0"/>
    <xf numFmtId="0" fontId="12" fillId="25" borderId="3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9" fillId="26" borderId="9" applyNumberFormat="0" applyAlignment="0" applyProtection="0"/>
    <xf numFmtId="0" fontId="20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8" borderId="10" applyNumberFormat="0" applyFont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0" fontId="26" fillId="9" borderId="0" applyNumberFormat="0" applyBorder="0" applyAlignment="0" applyProtection="0"/>
    <xf numFmtId="0" fontId="37" fillId="33" borderId="1" applyNumberFormat="0" applyFill="0" applyBorder="0" applyAlignment="0"/>
    <xf numFmtId="0" fontId="36" fillId="32" borderId="15" applyNumberFormat="0" applyFill="0" applyBorder="0" applyAlignment="0">
      <alignment horizontal="centerContinuous"/>
    </xf>
    <xf numFmtId="0" fontId="39" fillId="0" borderId="0">
      <alignment horizontal="right"/>
    </xf>
    <xf numFmtId="0" fontId="38" fillId="0" borderId="14" applyNumberFormat="0" applyFill="0" applyBorder="0" applyAlignment="0"/>
    <xf numFmtId="166" fontId="28" fillId="0" borderId="0" applyFont="0" applyFill="0" applyBorder="0" applyAlignment="0" applyProtection="0"/>
    <xf numFmtId="0" fontId="34" fillId="0" borderId="0" applyNumberFormat="0" applyFill="0" applyBorder="0" applyAlignment="0"/>
    <xf numFmtId="0" fontId="32" fillId="30" borderId="12" applyNumberFormat="0" applyFill="0" applyBorder="0" applyAlignment="0">
      <alignment horizontal="left"/>
    </xf>
    <xf numFmtId="0" fontId="37" fillId="0" borderId="0" applyNumberFormat="0" applyFill="0" applyBorder="0" applyAlignment="0"/>
    <xf numFmtId="0" fontId="29" fillId="0" borderId="0" applyFont="0" applyFill="0" applyBorder="0" applyAlignment="0"/>
    <xf numFmtId="165" fontId="28" fillId="0" borderId="0" applyFont="0" applyFill="0" applyBorder="0" applyAlignment="0" applyProtection="0"/>
    <xf numFmtId="0" fontId="31" fillId="29" borderId="0" applyNumberFormat="0" applyFill="0" applyBorder="0" applyAlignment="0"/>
    <xf numFmtId="0" fontId="30" fillId="29" borderId="12" applyNumberFormat="0" applyFill="0" applyBorder="0" applyAlignment="0">
      <alignment horizontal="left"/>
    </xf>
    <xf numFmtId="0" fontId="27" fillId="0" borderId="0"/>
    <xf numFmtId="165" fontId="28" fillId="0" borderId="0" applyFont="0" applyFill="0" applyBorder="0" applyAlignment="0" applyProtection="0"/>
    <xf numFmtId="0" fontId="33" fillId="31" borderId="0" applyNumberFormat="0" applyFill="0" applyBorder="0" applyAlignment="0"/>
    <xf numFmtId="0" fontId="37" fillId="0" borderId="0" applyNumberFormat="0" applyFill="0" applyBorder="0" applyAlignment="0"/>
    <xf numFmtId="0" fontId="35" fillId="0" borderId="14" applyNumberFormat="0" applyFill="0" applyBorder="0" applyAlignment="0">
      <alignment horizontal="left"/>
    </xf>
    <xf numFmtId="166" fontId="28" fillId="0" borderId="0" applyFont="0" applyFill="0" applyBorder="0" applyAlignment="0" applyProtection="0"/>
    <xf numFmtId="170" fontId="28" fillId="0" borderId="0" applyFont="0" applyFill="0" applyBorder="0" applyProtection="0"/>
    <xf numFmtId="172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0" fontId="41" fillId="0" borderId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74" fontId="46" fillId="0" borderId="0" applyFont="0" applyFill="0" applyBorder="0" applyAlignment="0" applyProtection="0"/>
    <xf numFmtId="0" fontId="47" fillId="0" borderId="0"/>
    <xf numFmtId="0" fontId="28" fillId="34" borderId="0" applyNumberFormat="0" applyFont="0" applyBorder="0" applyAlignment="0"/>
    <xf numFmtId="0" fontId="48" fillId="0" borderId="1" applyNumberFormat="0" applyFont="0" applyFill="0" applyProtection="0">
      <alignment horizontal="centerContinuous" vertical="center"/>
    </xf>
    <xf numFmtId="0" fontId="49" fillId="6" borderId="0" applyNumberFormat="0" applyFont="0" applyBorder="0" applyAlignment="0" applyProtection="0"/>
    <xf numFmtId="0" fontId="48" fillId="0" borderId="0" applyNumberFormat="0" applyFill="0" applyBorder="0" applyProtection="0">
      <alignment horizontal="center" vertical="center"/>
    </xf>
    <xf numFmtId="43" fontId="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8" fillId="0" borderId="0" applyFont="0" applyFill="0" applyBorder="0" applyAlignment="0" applyProtection="0">
      <alignment vertical="center"/>
    </xf>
    <xf numFmtId="3" fontId="52" fillId="0" borderId="0" applyFont="0" applyFill="0" applyBorder="0" applyAlignment="0" applyProtection="0"/>
    <xf numFmtId="166" fontId="27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76" fontId="52" fillId="0" borderId="0" applyFont="0" applyFill="0" applyBorder="0" applyAlignment="0" applyProtection="0"/>
    <xf numFmtId="14" fontId="53" fillId="0" borderId="0"/>
    <xf numFmtId="0" fontId="51" fillId="0" borderId="0" applyFont="0" applyFill="0" applyBorder="0" applyAlignment="0" applyProtection="0"/>
    <xf numFmtId="14" fontId="53" fillId="0" borderId="0"/>
    <xf numFmtId="38" fontId="49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51" fillId="0" borderId="16" applyNumberFormat="0" applyFont="0" applyFill="0" applyAlignment="0" applyProtection="0"/>
    <xf numFmtId="0" fontId="5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" fontId="52" fillId="0" borderId="0" applyFont="0" applyFill="0" applyBorder="0" applyAlignment="0" applyProtection="0"/>
    <xf numFmtId="15" fontId="28" fillId="0" borderId="0">
      <alignment vertical="center"/>
    </xf>
    <xf numFmtId="0" fontId="55" fillId="0" borderId="0" applyFill="0" applyBorder="0" applyProtection="0">
      <alignment horizontal="left"/>
    </xf>
    <xf numFmtId="43" fontId="56" fillId="0" borderId="0" applyNumberFormat="0" applyFill="0" applyBorder="0" applyAlignment="0" applyProtection="0">
      <alignment horizontal="center"/>
    </xf>
    <xf numFmtId="0" fontId="51" fillId="0" borderId="0" applyFont="0" applyFill="0" applyBorder="0" applyAlignment="0" applyProtection="0">
      <alignment horizontal="right"/>
    </xf>
    <xf numFmtId="0" fontId="57" fillId="0" borderId="0" applyProtection="0">
      <alignment horizontal="right"/>
    </xf>
    <xf numFmtId="0" fontId="31" fillId="0" borderId="17" applyNumberFormat="0" applyAlignment="0" applyProtection="0">
      <alignment horizontal="left" vertical="center"/>
    </xf>
    <xf numFmtId="0" fontId="31" fillId="0" borderId="12">
      <alignment horizontal="left" vertical="center"/>
    </xf>
    <xf numFmtId="0" fontId="58" fillId="0" borderId="0">
      <alignment horizontal="center"/>
    </xf>
    <xf numFmtId="0" fontId="59" fillId="0" borderId="18" applyNumberFormat="0" applyFill="0" applyBorder="0" applyAlignment="0" applyProtection="0">
      <alignment horizontal="left"/>
    </xf>
    <xf numFmtId="179" fontId="60" fillId="3" borderId="0" applyNumberFormat="0" applyBorder="0" applyAlignment="0" applyProtection="0"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8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78" fontId="40" fillId="0" borderId="0" applyFont="0" applyFill="0" applyBorder="0" applyAlignment="0" applyProtection="0"/>
    <xf numFmtId="37" fontId="64" fillId="0" borderId="0"/>
    <xf numFmtId="190" fontId="29" fillId="0" borderId="0"/>
    <xf numFmtId="0" fontId="4" fillId="0" borderId="0"/>
    <xf numFmtId="0" fontId="88" fillId="0" borderId="0">
      <alignment vertical="center"/>
    </xf>
    <xf numFmtId="0" fontId="65" fillId="0" borderId="0"/>
    <xf numFmtId="0" fontId="66" fillId="0" borderId="0"/>
    <xf numFmtId="0" fontId="28" fillId="0" borderId="0"/>
    <xf numFmtId="40" fontId="67" fillId="35" borderId="0">
      <alignment horizontal="right"/>
    </xf>
    <xf numFmtId="0" fontId="68" fillId="36" borderId="0">
      <alignment horizontal="center"/>
    </xf>
    <xf numFmtId="0" fontId="69" fillId="37" borderId="0"/>
    <xf numFmtId="0" fontId="70" fillId="35" borderId="0" applyBorder="0">
      <alignment horizontal="centerContinuous"/>
    </xf>
    <xf numFmtId="0" fontId="71" fillId="37" borderId="0" applyBorder="0">
      <alignment horizontal="centerContinuous"/>
    </xf>
    <xf numFmtId="0" fontId="31" fillId="0" borderId="0" applyNumberFormat="0" applyFill="0" applyBorder="0" applyAlignment="0" applyProtection="0"/>
    <xf numFmtId="1" fontId="72" fillId="0" borderId="0" applyProtection="0">
      <alignment horizontal="right" vertical="center"/>
    </xf>
    <xf numFmtId="0" fontId="73" fillId="0" borderId="19" applyNumberFormat="0" applyAlignment="0" applyProtection="0"/>
    <xf numFmtId="0" fontId="49" fillId="2" borderId="0" applyNumberFormat="0" applyFont="0" applyBorder="0" applyAlignment="0" applyProtection="0"/>
    <xf numFmtId="0" fontId="74" fillId="4" borderId="13" applyNumberFormat="0" applyFont="0" applyBorder="0" applyAlignment="0" applyProtection="0">
      <alignment horizontal="center"/>
    </xf>
    <xf numFmtId="0" fontId="74" fillId="38" borderId="13" applyNumberFormat="0" applyFont="0" applyBorder="0" applyAlignment="0" applyProtection="0">
      <alignment horizontal="center"/>
    </xf>
    <xf numFmtId="0" fontId="49" fillId="0" borderId="20" applyNumberFormat="0" applyAlignment="0" applyProtection="0"/>
    <xf numFmtId="0" fontId="49" fillId="0" borderId="21" applyNumberFormat="0" applyAlignment="0" applyProtection="0"/>
    <xf numFmtId="0" fontId="73" fillId="0" borderId="22" applyNumberFormat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8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6" fillId="0" borderId="0" applyNumberFormat="0" applyFill="0" applyBorder="0" applyAlignment="0" applyProtection="0">
      <alignment horizontal="left"/>
      <protection locked="0"/>
    </xf>
    <xf numFmtId="0" fontId="77" fillId="0" borderId="23">
      <alignment vertical="center"/>
    </xf>
    <xf numFmtId="0" fontId="53" fillId="0" borderId="24"/>
    <xf numFmtId="0" fontId="46" fillId="0" borderId="0" applyFill="0" applyBorder="0" applyAlignment="0" applyProtection="0"/>
    <xf numFmtId="0" fontId="39" fillId="0" borderId="0" applyNumberFormat="0" applyFill="0" applyBorder="0" applyAlignment="0" applyProtection="0">
      <alignment horizontal="center"/>
    </xf>
    <xf numFmtId="0" fontId="28" fillId="0" borderId="0"/>
    <xf numFmtId="0" fontId="78" fillId="0" borderId="0"/>
    <xf numFmtId="0" fontId="79" fillId="0" borderId="0" applyBorder="0" applyProtection="0">
      <alignment vertical="center"/>
    </xf>
    <xf numFmtId="0" fontId="79" fillId="0" borderId="1" applyBorder="0" applyProtection="0">
      <alignment horizontal="right" vertical="center"/>
    </xf>
    <xf numFmtId="0" fontId="80" fillId="39" borderId="0" applyBorder="0" applyProtection="0">
      <alignment horizontal="centerContinuous" vertical="center"/>
    </xf>
    <xf numFmtId="0" fontId="80" fillId="5" borderId="1" applyBorder="0" applyProtection="0">
      <alignment horizontal="centerContinuous" vertical="center"/>
    </xf>
    <xf numFmtId="0" fontId="81" fillId="0" borderId="0"/>
    <xf numFmtId="0" fontId="66" fillId="0" borderId="0"/>
    <xf numFmtId="0" fontId="82" fillId="0" borderId="0" applyFill="0" applyBorder="0" applyProtection="0">
      <alignment horizontal="left"/>
    </xf>
    <xf numFmtId="0" fontId="55" fillId="0" borderId="2" applyFill="0" applyBorder="0" applyProtection="0">
      <alignment horizontal="left" vertical="top"/>
    </xf>
    <xf numFmtId="0" fontId="73" fillId="0" borderId="0">
      <alignment horizontal="centerContinuous"/>
    </xf>
    <xf numFmtId="0" fontId="83" fillId="0" borderId="0"/>
    <xf numFmtId="0" fontId="84" fillId="0" borderId="0"/>
    <xf numFmtId="0" fontId="4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0">
      <alignment horizontal="fill"/>
    </xf>
    <xf numFmtId="164" fontId="63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86" fillId="0" borderId="1" applyBorder="0" applyProtection="0">
      <alignment horizontal="right"/>
    </xf>
    <xf numFmtId="193" fontId="46" fillId="0" borderId="0" applyFont="0" applyFill="0" applyBorder="0" applyAlignment="0" applyProtection="0"/>
    <xf numFmtId="0" fontId="87" fillId="0" borderId="0"/>
    <xf numFmtId="43" fontId="27" fillId="0" borderId="0" applyFont="0" applyFill="0" applyBorder="0" applyAlignment="0" applyProtection="0"/>
    <xf numFmtId="0" fontId="74" fillId="0" borderId="0"/>
    <xf numFmtId="0" fontId="27" fillId="0" borderId="0"/>
    <xf numFmtId="9" fontId="27" fillId="0" borderId="0" applyFont="0" applyFill="0" applyBorder="0" applyAlignment="0" applyProtection="0"/>
    <xf numFmtId="0" fontId="2" fillId="0" borderId="0"/>
    <xf numFmtId="0" fontId="1" fillId="0" borderId="0"/>
    <xf numFmtId="0" fontId="102" fillId="0" borderId="0"/>
    <xf numFmtId="43" fontId="2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90" fillId="0" borderId="0" xfId="0" applyFont="1"/>
    <xf numFmtId="170" fontId="0" fillId="0" borderId="0" xfId="0" applyNumberFormat="1"/>
    <xf numFmtId="0" fontId="0" fillId="0" borderId="0" xfId="0" applyAlignment="1">
      <alignment horizontal="center"/>
    </xf>
    <xf numFmtId="170" fontId="3" fillId="0" borderId="0" xfId="0" applyNumberFormat="1" applyFont="1"/>
    <xf numFmtId="0" fontId="91" fillId="0" borderId="0" xfId="0" applyFont="1"/>
    <xf numFmtId="2" fontId="0" fillId="0" borderId="0" xfId="0" applyNumberFormat="1" applyAlignment="1">
      <alignment horizontal="center"/>
    </xf>
    <xf numFmtId="10" fontId="0" fillId="0" borderId="0" xfId="0" applyNumberFormat="1"/>
    <xf numFmtId="0" fontId="93" fillId="0" borderId="0" xfId="0" applyFont="1" applyAlignment="1">
      <alignment wrapText="1"/>
    </xf>
    <xf numFmtId="0" fontId="9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10" fontId="92" fillId="0" borderId="0" xfId="150" applyNumberFormat="1" applyFont="1">
      <alignment vertical="center"/>
    </xf>
    <xf numFmtId="169" fontId="92" fillId="0" borderId="0" xfId="170" applyNumberFormat="1" applyFont="1" applyFill="1" applyAlignment="1">
      <alignment vertical="center"/>
    </xf>
    <xf numFmtId="0" fontId="93" fillId="0" borderId="0" xfId="0" applyFont="1" applyAlignment="1">
      <alignment horizontal="center" wrapText="1"/>
    </xf>
    <xf numFmtId="0" fontId="95" fillId="40" borderId="0" xfId="0" applyFont="1" applyFill="1" applyAlignment="1">
      <alignment horizontal="center" wrapText="1"/>
    </xf>
    <xf numFmtId="170" fontId="0" fillId="0" borderId="0" xfId="0" applyNumberFormat="1" applyAlignment="1">
      <alignment wrapText="1"/>
    </xf>
    <xf numFmtId="170" fontId="3" fillId="0" borderId="0" xfId="0" applyNumberFormat="1" applyFont="1" applyAlignment="1">
      <alignment wrapText="1"/>
    </xf>
    <xf numFmtId="170" fontId="3" fillId="40" borderId="0" xfId="0" applyNumberFormat="1" applyFont="1" applyFill="1" applyAlignment="1">
      <alignment wrapText="1"/>
    </xf>
    <xf numFmtId="4" fontId="0" fillId="0" borderId="0" xfId="0" applyNumberFormat="1"/>
    <xf numFmtId="196" fontId="0" fillId="0" borderId="0" xfId="0" applyNumberFormat="1"/>
    <xf numFmtId="10" fontId="96" fillId="0" borderId="0" xfId="0" applyNumberFormat="1" applyFont="1"/>
    <xf numFmtId="170" fontId="0" fillId="0" borderId="25" xfId="0" applyNumberFormat="1" applyBorder="1" applyAlignment="1">
      <alignment wrapText="1"/>
    </xf>
    <xf numFmtId="0" fontId="0" fillId="0" borderId="25" xfId="0" applyBorder="1" applyAlignment="1">
      <alignment wrapText="1"/>
    </xf>
    <xf numFmtId="0" fontId="93" fillId="0" borderId="25" xfId="0" applyFont="1" applyBorder="1" applyAlignment="1">
      <alignment horizontal="center" wrapText="1"/>
    </xf>
    <xf numFmtId="9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 wrapText="1"/>
    </xf>
    <xf numFmtId="194" fontId="0" fillId="0" borderId="0" xfId="0" applyNumberFormat="1"/>
    <xf numFmtId="3" fontId="3" fillId="0" borderId="0" xfId="0" applyNumberFormat="1" applyFont="1"/>
    <xf numFmtId="9" fontId="3" fillId="0" borderId="25" xfId="1" applyFont="1" applyBorder="1" applyAlignment="1">
      <alignment wrapText="1"/>
    </xf>
    <xf numFmtId="2" fontId="0" fillId="40" borderId="0" xfId="0" applyNumberFormat="1" applyFill="1" applyAlignment="1">
      <alignment horizontal="center"/>
    </xf>
    <xf numFmtId="3" fontId="98" fillId="40" borderId="0" xfId="0" applyNumberFormat="1" applyFont="1" applyFill="1"/>
    <xf numFmtId="0" fontId="99" fillId="0" borderId="25" xfId="0" applyFont="1" applyBorder="1" applyAlignment="1">
      <alignment horizontal="center" wrapText="1"/>
    </xf>
    <xf numFmtId="9" fontId="2" fillId="0" borderId="25" xfId="1" applyFont="1" applyBorder="1" applyAlignment="1">
      <alignment wrapText="1"/>
    </xf>
    <xf numFmtId="170" fontId="3" fillId="0" borderId="25" xfId="0" applyNumberFormat="1" applyFont="1" applyBorder="1" applyAlignment="1">
      <alignment wrapText="1"/>
    </xf>
    <xf numFmtId="9" fontId="0" fillId="0" borderId="0" xfId="1" applyFont="1"/>
    <xf numFmtId="170" fontId="97" fillId="0" borderId="0" xfId="0" applyNumberFormat="1" applyFont="1"/>
    <xf numFmtId="197" fontId="0" fillId="0" borderId="0" xfId="0" applyNumberFormat="1"/>
    <xf numFmtId="49" fontId="100" fillId="0" borderId="0" xfId="0" applyNumberFormat="1" applyFont="1"/>
    <xf numFmtId="170" fontId="100" fillId="0" borderId="0" xfId="0" applyNumberFormat="1" applyFont="1"/>
    <xf numFmtId="0" fontId="100" fillId="0" borderId="0" xfId="0" applyFont="1"/>
    <xf numFmtId="170" fontId="0" fillId="40" borderId="0" xfId="0" applyNumberFormat="1" applyFill="1" applyAlignment="1">
      <alignment wrapText="1"/>
    </xf>
    <xf numFmtId="3" fontId="98" fillId="0" borderId="0" xfId="0" applyNumberFormat="1" applyFont="1"/>
    <xf numFmtId="0" fontId="98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149" applyFont="1" applyAlignment="1">
      <alignment wrapText="1"/>
    </xf>
    <xf numFmtId="1" fontId="3" fillId="0" borderId="0" xfId="149" applyNumberFormat="1" applyFont="1" applyAlignment="1">
      <alignment horizontal="center"/>
    </xf>
    <xf numFmtId="3" fontId="2" fillId="0" borderId="0" xfId="149" applyNumberFormat="1" applyFont="1"/>
    <xf numFmtId="1" fontId="3" fillId="0" borderId="0" xfId="0" applyNumberFormat="1" applyFont="1" applyAlignment="1">
      <alignment horizontal="center"/>
    </xf>
    <xf numFmtId="170" fontId="101" fillId="0" borderId="0" xfId="0" applyNumberFormat="1" applyFont="1"/>
    <xf numFmtId="0" fontId="27" fillId="0" borderId="0" xfId="0" applyFont="1" applyAlignment="1">
      <alignment wrapText="1"/>
    </xf>
    <xf numFmtId="170" fontId="27" fillId="0" borderId="0" xfId="0" applyNumberFormat="1" applyFont="1"/>
    <xf numFmtId="170" fontId="27" fillId="40" borderId="0" xfId="0" applyNumberFormat="1" applyFont="1" applyFill="1" applyAlignment="1">
      <alignment wrapText="1"/>
    </xf>
    <xf numFmtId="0" fontId="27" fillId="0" borderId="0" xfId="0" applyFont="1"/>
    <xf numFmtId="170" fontId="96" fillId="40" borderId="0" xfId="0" applyNumberFormat="1" applyFont="1" applyFill="1" applyAlignment="1">
      <alignment wrapText="1"/>
    </xf>
    <xf numFmtId="170" fontId="96" fillId="0" borderId="25" xfId="0" applyNumberFormat="1" applyFont="1" applyBorder="1" applyAlignment="1">
      <alignment wrapText="1"/>
    </xf>
    <xf numFmtId="9" fontId="96" fillId="0" borderId="25" xfId="1" applyFont="1" applyBorder="1" applyAlignment="1">
      <alignment wrapText="1"/>
    </xf>
    <xf numFmtId="0" fontId="1" fillId="0" borderId="0" xfId="0" applyFont="1" applyAlignment="1">
      <alignment wrapText="1"/>
    </xf>
    <xf numFmtId="9" fontId="98" fillId="40" borderId="0" xfId="1" applyFont="1" applyFill="1"/>
    <xf numFmtId="0" fontId="96" fillId="0" borderId="25" xfId="0" applyFont="1" applyBorder="1" applyAlignment="1">
      <alignment horizontal="center" wrapText="1"/>
    </xf>
    <xf numFmtId="0" fontId="92" fillId="0" borderId="0" xfId="208" applyFont="1" applyAlignment="1">
      <alignment horizontal="center"/>
    </xf>
    <xf numFmtId="0" fontId="2" fillId="0" borderId="0" xfId="207"/>
    <xf numFmtId="3" fontId="2" fillId="0" borderId="0" xfId="207" applyNumberFormat="1"/>
    <xf numFmtId="3" fontId="1" fillId="0" borderId="0" xfId="208" applyNumberFormat="1"/>
    <xf numFmtId="0" fontId="1" fillId="0" borderId="0" xfId="208"/>
    <xf numFmtId="0" fontId="2" fillId="0" borderId="0" xfId="207" applyAlignment="1">
      <alignment wrapText="1"/>
    </xf>
    <xf numFmtId="10" fontId="2" fillId="0" borderId="0" xfId="207" applyNumberFormat="1"/>
    <xf numFmtId="4" fontId="2" fillId="0" borderId="0" xfId="207" applyNumberFormat="1"/>
    <xf numFmtId="0" fontId="1" fillId="42" borderId="0" xfId="208" applyFill="1"/>
    <xf numFmtId="0" fontId="96" fillId="42" borderId="26" xfId="208" applyFont="1" applyFill="1" applyBorder="1"/>
    <xf numFmtId="195" fontId="2" fillId="40" borderId="0" xfId="206" applyNumberFormat="1" applyFont="1" applyFill="1" applyBorder="1"/>
    <xf numFmtId="170" fontId="1" fillId="0" borderId="0" xfId="0" applyNumberFormat="1" applyFont="1" applyAlignment="1">
      <alignment wrapText="1"/>
    </xf>
    <xf numFmtId="0" fontId="104" fillId="0" borderId="0" xfId="0" applyFont="1" applyAlignment="1">
      <alignment horizontal="right" wrapText="1"/>
    </xf>
    <xf numFmtId="170" fontId="104" fillId="0" borderId="0" xfId="0" applyNumberFormat="1" applyFont="1" applyAlignment="1">
      <alignment horizontal="right"/>
    </xf>
    <xf numFmtId="0" fontId="104" fillId="0" borderId="0" xfId="0" applyFont="1" applyAlignment="1">
      <alignment horizontal="right"/>
    </xf>
    <xf numFmtId="170" fontId="104" fillId="40" borderId="0" xfId="0" applyNumberFormat="1" applyFont="1" applyFill="1" applyAlignment="1">
      <alignment wrapText="1"/>
    </xf>
    <xf numFmtId="10" fontId="96" fillId="0" borderId="0" xfId="0" applyNumberFormat="1" applyFont="1" applyAlignment="1">
      <alignment horizontal="center"/>
    </xf>
    <xf numFmtId="9" fontId="96" fillId="0" borderId="0" xfId="0" applyNumberFormat="1" applyFont="1" applyAlignment="1">
      <alignment horizontal="center"/>
    </xf>
    <xf numFmtId="43" fontId="3" fillId="0" borderId="0" xfId="210" applyFont="1" applyAlignment="1">
      <alignment horizontal="center"/>
    </xf>
    <xf numFmtId="3" fontId="3" fillId="0" borderId="0" xfId="0" applyNumberFormat="1" applyFont="1" applyAlignment="1">
      <alignment horizontal="right" wrapText="1"/>
    </xf>
    <xf numFmtId="17" fontId="0" fillId="0" borderId="0" xfId="0" applyNumberFormat="1"/>
    <xf numFmtId="0" fontId="0" fillId="40" borderId="0" xfId="0" applyFill="1"/>
    <xf numFmtId="2" fontId="0" fillId="0" borderId="0" xfId="0" applyNumberFormat="1" applyAlignment="1">
      <alignment wrapText="1"/>
    </xf>
    <xf numFmtId="2" fontId="0" fillId="0" borderId="0" xfId="0" applyNumberFormat="1"/>
    <xf numFmtId="3" fontId="0" fillId="0" borderId="0" xfId="0" applyNumberFormat="1" applyAlignment="1">
      <alignment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>
      <alignment horizontal="center"/>
    </xf>
    <xf numFmtId="3" fontId="96" fillId="0" borderId="0" xfId="0" applyNumberFormat="1" applyFont="1"/>
    <xf numFmtId="198" fontId="3" fillId="0" borderId="0" xfId="0" applyNumberFormat="1" applyFont="1" applyAlignment="1">
      <alignment horizontal="right" wrapText="1"/>
    </xf>
    <xf numFmtId="198" fontId="1" fillId="0" borderId="0" xfId="0" applyNumberFormat="1" applyFont="1" applyAlignment="1">
      <alignment horizontal="right" wrapText="1"/>
    </xf>
    <xf numFmtId="198" fontId="96" fillId="0" borderId="0" xfId="0" applyNumberFormat="1" applyFont="1" applyAlignment="1">
      <alignment horizontal="right" wrapText="1"/>
    </xf>
    <xf numFmtId="3" fontId="96" fillId="0" borderId="0" xfId="0" applyNumberFormat="1" applyFont="1" applyAlignment="1">
      <alignment horizontal="center" wrapText="1"/>
    </xf>
    <xf numFmtId="9" fontId="0" fillId="0" borderId="0" xfId="0" applyNumberFormat="1" applyAlignment="1">
      <alignment wrapText="1"/>
    </xf>
    <xf numFmtId="0" fontId="96" fillId="0" borderId="0" xfId="208" applyFont="1" applyAlignment="1">
      <alignment horizontal="center"/>
    </xf>
    <xf numFmtId="17" fontId="1" fillId="0" borderId="0" xfId="208" applyNumberFormat="1" applyAlignment="1">
      <alignment horizontal="center"/>
    </xf>
    <xf numFmtId="0" fontId="96" fillId="0" borderId="0" xfId="208" applyFont="1"/>
    <xf numFmtId="9" fontId="0" fillId="0" borderId="0" xfId="1" applyFont="1" applyAlignment="1">
      <alignment wrapText="1"/>
    </xf>
    <xf numFmtId="195" fontId="0" fillId="40" borderId="0" xfId="0" applyNumberFormat="1" applyFill="1"/>
    <xf numFmtId="0" fontId="106" fillId="0" borderId="0" xfId="0" applyFont="1" applyAlignment="1">
      <alignment horizontal="right" wrapText="1"/>
    </xf>
    <xf numFmtId="3" fontId="106" fillId="40" borderId="0" xfId="0" applyNumberFormat="1" applyFont="1" applyFill="1" applyAlignment="1">
      <alignment horizontal="right"/>
    </xf>
    <xf numFmtId="194" fontId="1" fillId="0" borderId="0" xfId="0" applyNumberFormat="1" applyFont="1" applyAlignment="1">
      <alignment horizontal="right" wrapText="1"/>
    </xf>
    <xf numFmtId="194" fontId="3" fillId="0" borderId="0" xfId="0" applyNumberFormat="1" applyFont="1" applyAlignment="1">
      <alignment horizontal="right" wrapText="1"/>
    </xf>
    <xf numFmtId="0" fontId="95" fillId="41" borderId="0" xfId="0" applyFont="1" applyFill="1" applyAlignment="1">
      <alignment horizontal="center" wrapText="1"/>
    </xf>
    <xf numFmtId="2" fontId="90" fillId="41" borderId="0" xfId="0" applyNumberFormat="1" applyFont="1" applyFill="1" applyAlignment="1">
      <alignment horizontal="center" wrapText="1"/>
    </xf>
    <xf numFmtId="2" fontId="96" fillId="0" borderId="0" xfId="0" applyNumberFormat="1" applyFont="1" applyAlignment="1">
      <alignment horizontal="center" wrapText="1"/>
    </xf>
    <xf numFmtId="14" fontId="1" fillId="0" borderId="0" xfId="0" applyNumberFormat="1" applyFont="1" applyAlignment="1">
      <alignment horizontal="center"/>
    </xf>
    <xf numFmtId="9" fontId="2" fillId="0" borderId="0" xfId="1" applyFont="1"/>
    <xf numFmtId="169" fontId="0" fillId="0" borderId="0" xfId="1" applyNumberFormat="1" applyFont="1" applyAlignment="1">
      <alignment wrapText="1"/>
    </xf>
    <xf numFmtId="1" fontId="93" fillId="0" borderId="0" xfId="0" applyNumberFormat="1" applyFont="1" applyAlignment="1">
      <alignment horizontal="center" wrapText="1"/>
    </xf>
    <xf numFmtId="0" fontId="107" fillId="0" borderId="0" xfId="0" applyFont="1" applyAlignment="1">
      <alignment horizontal="left" wrapText="1"/>
    </xf>
    <xf numFmtId="1" fontId="106" fillId="0" borderId="0" xfId="0" applyNumberFormat="1" applyFont="1" applyAlignment="1">
      <alignment horizontal="center" wrapText="1"/>
    </xf>
    <xf numFmtId="0" fontId="96" fillId="0" borderId="25" xfId="0" applyFont="1" applyBorder="1" applyAlignment="1">
      <alignment horizontal="center" vertical="top" wrapText="1"/>
    </xf>
    <xf numFmtId="0" fontId="92" fillId="0" borderId="25" xfId="0" applyFont="1" applyBorder="1" applyAlignment="1">
      <alignment horizontal="center" vertical="top" wrapText="1"/>
    </xf>
    <xf numFmtId="0" fontId="92" fillId="0" borderId="25" xfId="0" applyFont="1" applyBorder="1" applyAlignment="1">
      <alignment vertical="top" wrapText="1"/>
    </xf>
    <xf numFmtId="0" fontId="109" fillId="0" borderId="25" xfId="0" applyFont="1" applyBorder="1" applyAlignment="1">
      <alignment horizontal="center" vertical="top" wrapText="1"/>
    </xf>
    <xf numFmtId="3" fontId="109" fillId="0" borderId="25" xfId="0" applyNumberFormat="1" applyFont="1" applyBorder="1" applyAlignment="1">
      <alignment horizontal="center" vertical="top" wrapText="1"/>
    </xf>
    <xf numFmtId="0" fontId="96" fillId="0" borderId="0" xfId="0" applyFont="1"/>
    <xf numFmtId="0" fontId="92" fillId="0" borderId="12" xfId="0" applyFont="1" applyBorder="1" applyAlignment="1">
      <alignment horizontal="center" vertical="top" wrapText="1"/>
    </xf>
    <xf numFmtId="0" fontId="109" fillId="0" borderId="25" xfId="0" applyFont="1" applyBorder="1" applyAlignment="1">
      <alignment horizontal="right" vertical="top" wrapText="1"/>
    </xf>
    <xf numFmtId="199" fontId="0" fillId="0" borderId="0" xfId="0" applyNumberFormat="1"/>
    <xf numFmtId="0" fontId="96" fillId="0" borderId="0" xfId="0" applyFont="1" applyAlignment="1">
      <alignment horizontal="right"/>
    </xf>
    <xf numFmtId="3" fontId="104" fillId="0" borderId="0" xfId="149" applyNumberFormat="1" applyFont="1"/>
    <xf numFmtId="198" fontId="104" fillId="0" borderId="0" xfId="0" applyNumberFormat="1" applyFont="1" applyAlignment="1">
      <alignment horizontal="right" wrapText="1"/>
    </xf>
    <xf numFmtId="194" fontId="104" fillId="0" borderId="0" xfId="0" applyNumberFormat="1" applyFont="1" applyAlignment="1">
      <alignment horizontal="right" wrapText="1"/>
    </xf>
    <xf numFmtId="9" fontId="1" fillId="0" borderId="0" xfId="1" applyFont="1"/>
    <xf numFmtId="0" fontId="91" fillId="42" borderId="0" xfId="208" applyFont="1" applyFill="1"/>
    <xf numFmtId="0" fontId="110" fillId="42" borderId="0" xfId="208" applyFont="1" applyFill="1"/>
    <xf numFmtId="0" fontId="109" fillId="40" borderId="29" xfId="209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90" fillId="41" borderId="0" xfId="0" applyFont="1" applyFill="1" applyAlignment="1">
      <alignment horizontal="center"/>
    </xf>
    <xf numFmtId="4" fontId="0" fillId="40" borderId="0" xfId="0" applyNumberFormat="1" applyFill="1"/>
    <xf numFmtId="0" fontId="90" fillId="41" borderId="0" xfId="0" applyFont="1" applyFill="1"/>
    <xf numFmtId="169" fontId="98" fillId="40" borderId="0" xfId="1" applyNumberFormat="1" applyFont="1" applyFill="1"/>
    <xf numFmtId="200" fontId="98" fillId="40" borderId="0" xfId="0" applyNumberFormat="1" applyFont="1" applyFill="1"/>
    <xf numFmtId="201" fontId="98" fillId="40" borderId="0" xfId="0" applyNumberFormat="1" applyFont="1" applyFill="1"/>
    <xf numFmtId="194" fontId="2" fillId="0" borderId="0" xfId="149" applyNumberFormat="1" applyFont="1"/>
    <xf numFmtId="194" fontId="96" fillId="0" borderId="0" xfId="0" applyNumberFormat="1" applyFont="1"/>
    <xf numFmtId="194" fontId="96" fillId="0" borderId="0" xfId="0" applyNumberFormat="1" applyFont="1" applyAlignment="1">
      <alignment horizontal="right" wrapText="1"/>
    </xf>
    <xf numFmtId="202" fontId="2" fillId="0" borderId="0" xfId="149" applyNumberFormat="1" applyFont="1"/>
    <xf numFmtId="194" fontId="92" fillId="0" borderId="25" xfId="0" applyNumberFormat="1" applyFont="1" applyBorder="1" applyAlignment="1">
      <alignment horizontal="center" vertical="top" wrapText="1"/>
    </xf>
    <xf numFmtId="194" fontId="92" fillId="0" borderId="28" xfId="0" applyNumberFormat="1" applyFont="1" applyBorder="1" applyAlignment="1">
      <alignment horizontal="center" vertical="top" wrapText="1"/>
    </xf>
    <xf numFmtId="194" fontId="109" fillId="0" borderId="25" xfId="0" applyNumberFormat="1" applyFont="1" applyBorder="1" applyAlignment="1">
      <alignment horizontal="center" vertical="top" wrapText="1"/>
    </xf>
    <xf numFmtId="201" fontId="3" fillId="0" borderId="0" xfId="0" applyNumberFormat="1" applyFont="1"/>
    <xf numFmtId="201" fontId="0" fillId="0" borderId="0" xfId="0" applyNumberFormat="1"/>
    <xf numFmtId="201" fontId="104" fillId="0" borderId="0" xfId="0" applyNumberFormat="1" applyFont="1" applyAlignment="1">
      <alignment horizontal="right"/>
    </xf>
    <xf numFmtId="194" fontId="3" fillId="0" borderId="0" xfId="0" applyNumberFormat="1" applyFont="1" applyAlignment="1">
      <alignment wrapText="1"/>
    </xf>
    <xf numFmtId="194" fontId="3" fillId="40" borderId="0" xfId="0" applyNumberFormat="1" applyFont="1" applyFill="1" applyAlignment="1">
      <alignment wrapText="1"/>
    </xf>
    <xf numFmtId="194" fontId="0" fillId="40" borderId="0" xfId="0" applyNumberFormat="1" applyFill="1" applyAlignment="1">
      <alignment wrapText="1"/>
    </xf>
    <xf numFmtId="194" fontId="104" fillId="0" borderId="0" xfId="0" applyNumberFormat="1" applyFont="1" applyAlignment="1">
      <alignment horizontal="right"/>
    </xf>
    <xf numFmtId="194" fontId="104" fillId="40" borderId="0" xfId="0" applyNumberFormat="1" applyFont="1" applyFill="1" applyAlignment="1">
      <alignment wrapText="1"/>
    </xf>
    <xf numFmtId="194" fontId="0" fillId="0" borderId="0" xfId="0" applyNumberFormat="1" applyAlignment="1">
      <alignment wrapText="1"/>
    </xf>
    <xf numFmtId="194" fontId="1" fillId="0" borderId="0" xfId="0" applyNumberFormat="1" applyFont="1" applyAlignment="1">
      <alignment wrapText="1"/>
    </xf>
    <xf numFmtId="194" fontId="96" fillId="40" borderId="0" xfId="0" applyNumberFormat="1" applyFont="1" applyFill="1" applyAlignment="1">
      <alignment wrapText="1"/>
    </xf>
    <xf numFmtId="194" fontId="27" fillId="40" borderId="0" xfId="0" applyNumberFormat="1" applyFont="1" applyFill="1" applyAlignment="1">
      <alignment wrapText="1"/>
    </xf>
    <xf numFmtId="194" fontId="3" fillId="0" borderId="0" xfId="0" applyNumberFormat="1" applyFont="1"/>
    <xf numFmtId="194" fontId="100" fillId="0" borderId="0" xfId="0" applyNumberFormat="1" applyFont="1"/>
    <xf numFmtId="203" fontId="0" fillId="0" borderId="0" xfId="0" applyNumberFormat="1"/>
    <xf numFmtId="195" fontId="0" fillId="0" borderId="0" xfId="1" applyNumberFormat="1" applyFont="1"/>
    <xf numFmtId="0" fontId="95" fillId="41" borderId="0" xfId="0" applyFont="1" applyFill="1" applyAlignment="1">
      <alignment horizontal="center" wrapText="1"/>
    </xf>
    <xf numFmtId="0" fontId="90" fillId="41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41" borderId="0" xfId="207" applyFont="1" applyFill="1" applyAlignment="1">
      <alignment horizontal="center" vertical="center" wrapText="1"/>
    </xf>
    <xf numFmtId="0" fontId="91" fillId="41" borderId="0" xfId="207" applyFont="1" applyFill="1" applyAlignment="1">
      <alignment horizontal="center" wrapText="1"/>
    </xf>
    <xf numFmtId="0" fontId="108" fillId="41" borderId="25" xfId="0" applyFont="1" applyFill="1" applyBorder="1" applyAlignment="1">
      <alignment horizontal="center"/>
    </xf>
    <xf numFmtId="0" fontId="96" fillId="0" borderId="12" xfId="0" applyFont="1" applyBorder="1" applyAlignment="1">
      <alignment horizontal="center" vertical="top" wrapText="1"/>
    </xf>
    <xf numFmtId="0" fontId="96" fillId="0" borderId="28" xfId="0" applyFont="1" applyBorder="1" applyAlignment="1">
      <alignment horizontal="center" vertical="top" wrapText="1"/>
    </xf>
    <xf numFmtId="0" fontId="96" fillId="0" borderId="27" xfId="0" applyFont="1" applyBorder="1" applyAlignment="1">
      <alignment horizontal="center" vertical="top" wrapText="1"/>
    </xf>
    <xf numFmtId="0" fontId="92" fillId="0" borderId="0" xfId="75" applyFont="1" applyAlignment="1">
      <alignment horizontal="center" vertical="center"/>
    </xf>
    <xf numFmtId="0" fontId="92" fillId="0" borderId="0" xfId="15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11">
    <cellStyle name=";;;" xfId="71" xr:uid="{00000000-0005-0000-0000-000000000000}"/>
    <cellStyle name="1Outputbox1" xfId="74" xr:uid="{00000000-0005-0000-0000-000001000000}"/>
    <cellStyle name="1Outputbox2" xfId="73" xr:uid="{00000000-0005-0000-0000-000002000000}"/>
    <cellStyle name="1Outputheader" xfId="69" xr:uid="{00000000-0005-0000-0000-000003000000}"/>
    <cellStyle name="1Outputheader2" xfId="77" xr:uid="{00000000-0005-0000-0000-000004000000}"/>
    <cellStyle name="1Outputsubtitle" xfId="68" xr:uid="{00000000-0005-0000-0000-000005000000}"/>
    <cellStyle name="1Outputtitle" xfId="79" xr:uid="{00000000-0005-0000-0000-000006000000}"/>
    <cellStyle name="1Profileheader" xfId="64" xr:uid="{00000000-0005-0000-0000-000007000000}"/>
    <cellStyle name="1Profilelowerbox" xfId="78" xr:uid="{00000000-0005-0000-0000-000008000000}"/>
    <cellStyle name="1Profilesubheader" xfId="63" xr:uid="{00000000-0005-0000-0000-000009000000}"/>
    <cellStyle name="1Profiletitle" xfId="66" xr:uid="{00000000-0005-0000-0000-00000A000000}"/>
    <cellStyle name="1Profiletopbox" xfId="70" xr:uid="{00000000-0005-0000-0000-00000B000000}"/>
    <cellStyle name="20% - Акцент1 2" xfId="17" xr:uid="{00000000-0005-0000-0000-00000C000000}"/>
    <cellStyle name="20% - Акцент2 2" xfId="18" xr:uid="{00000000-0005-0000-0000-00000D000000}"/>
    <cellStyle name="20% - Акцент3 2" xfId="19" xr:uid="{00000000-0005-0000-0000-00000E000000}"/>
    <cellStyle name="20% - Акцент4 2" xfId="20" xr:uid="{00000000-0005-0000-0000-00000F000000}"/>
    <cellStyle name="20% - Акцент5 2" xfId="21" xr:uid="{00000000-0005-0000-0000-000010000000}"/>
    <cellStyle name="20% - Акцент6 2" xfId="22" xr:uid="{00000000-0005-0000-0000-000011000000}"/>
    <cellStyle name="40% - Акцент1 2" xfId="23" xr:uid="{00000000-0005-0000-0000-000012000000}"/>
    <cellStyle name="40% - Акцент2 2" xfId="24" xr:uid="{00000000-0005-0000-0000-000013000000}"/>
    <cellStyle name="40% - Акцент3 2" xfId="25" xr:uid="{00000000-0005-0000-0000-000014000000}"/>
    <cellStyle name="40% - Акцент4 2" xfId="26" xr:uid="{00000000-0005-0000-0000-000015000000}"/>
    <cellStyle name="40% - Акцент5 2" xfId="27" xr:uid="{00000000-0005-0000-0000-000016000000}"/>
    <cellStyle name="40% - Акцент6 2" xfId="28" xr:uid="{00000000-0005-0000-0000-000017000000}"/>
    <cellStyle name="60% - Акцент1 2" xfId="29" xr:uid="{00000000-0005-0000-0000-000018000000}"/>
    <cellStyle name="60% - Акцент2 2" xfId="30" xr:uid="{00000000-0005-0000-0000-000019000000}"/>
    <cellStyle name="60% - Акцент3 2" xfId="31" xr:uid="{00000000-0005-0000-0000-00001A000000}"/>
    <cellStyle name="60% - Акцент4 2" xfId="32" xr:uid="{00000000-0005-0000-0000-00001B000000}"/>
    <cellStyle name="60% - Акцент5 2" xfId="33" xr:uid="{00000000-0005-0000-0000-00001C000000}"/>
    <cellStyle name="60% - Акцент6 2" xfId="34" xr:uid="{00000000-0005-0000-0000-00001D000000}"/>
    <cellStyle name="8pt" xfId="65" xr:uid="{00000000-0005-0000-0000-00001E000000}"/>
    <cellStyle name="Aaia?iue [0]_vaqduGfTSN7qyUJNWHRlcWo3H" xfId="76" xr:uid="{00000000-0005-0000-0000-00001F000000}"/>
    <cellStyle name="Aaia?iue_vaqduGfTSN7qyUJNWHRlcWo3H" xfId="67" xr:uid="{00000000-0005-0000-0000-000020000000}"/>
    <cellStyle name="Äåíåæíûé [0]_vaqduGfTSN7qyUJNWHRlcWo3H" xfId="72" xr:uid="{00000000-0005-0000-0000-000021000000}"/>
    <cellStyle name="Äåíåæíûé_vaqduGfTSN7qyUJNWHRlcWo3H" xfId="80" xr:uid="{00000000-0005-0000-0000-000022000000}"/>
    <cellStyle name="acct" xfId="81" xr:uid="{00000000-0005-0000-0000-000023000000}"/>
    <cellStyle name="AeE­ [0]_?A°??µAoC?" xfId="82" xr:uid="{00000000-0005-0000-0000-000024000000}"/>
    <cellStyle name="AeE­_?A°??µAoC?" xfId="83" xr:uid="{00000000-0005-0000-0000-000025000000}"/>
    <cellStyle name="AFE" xfId="84" xr:uid="{00000000-0005-0000-0000-000026000000}"/>
    <cellStyle name="Arial 10" xfId="85" xr:uid="{00000000-0005-0000-0000-000027000000}"/>
    <cellStyle name="Arial 12" xfId="86" xr:uid="{00000000-0005-0000-0000-000028000000}"/>
    <cellStyle name="BLACK" xfId="87" xr:uid="{00000000-0005-0000-0000-000029000000}"/>
    <cellStyle name="Blue" xfId="88" xr:uid="{00000000-0005-0000-0000-00002A000000}"/>
    <cellStyle name="Body" xfId="89" xr:uid="{00000000-0005-0000-0000-00002B000000}"/>
    <cellStyle name="British Pound" xfId="90" xr:uid="{00000000-0005-0000-0000-00002C000000}"/>
    <cellStyle name="C?AO_?A°??µAoC?" xfId="91" xr:uid="{00000000-0005-0000-0000-00002D000000}"/>
    <cellStyle name="Case" xfId="92" xr:uid="{00000000-0005-0000-0000-00002E000000}"/>
    <cellStyle name="Center Across" xfId="93" xr:uid="{00000000-0005-0000-0000-00002F000000}"/>
    <cellStyle name="Check" xfId="94" xr:uid="{00000000-0005-0000-0000-000030000000}"/>
    <cellStyle name="Column Heading" xfId="95" xr:uid="{00000000-0005-0000-0000-000031000000}"/>
    <cellStyle name="Comma" xfId="210" builtinId="3"/>
    <cellStyle name="Comma [1]" xfId="97" xr:uid="{00000000-0005-0000-0000-000032000000}"/>
    <cellStyle name="Comma 0" xfId="98" xr:uid="{00000000-0005-0000-0000-000033000000}"/>
    <cellStyle name="Comma 0*" xfId="99" xr:uid="{00000000-0005-0000-0000-000034000000}"/>
    <cellStyle name="Comma 2" xfId="100" xr:uid="{00000000-0005-0000-0000-000035000000}"/>
    <cellStyle name="Comma 3" xfId="101" xr:uid="{00000000-0005-0000-0000-000036000000}"/>
    <cellStyle name="Comma0" xfId="102" xr:uid="{00000000-0005-0000-0000-000037000000}"/>
    <cellStyle name="Currency [1]" xfId="104" xr:uid="{00000000-0005-0000-0000-000038000000}"/>
    <cellStyle name="Currency 0" xfId="105" xr:uid="{00000000-0005-0000-0000-000039000000}"/>
    <cellStyle name="Currency 2" xfId="106" xr:uid="{00000000-0005-0000-0000-00003A000000}"/>
    <cellStyle name="Currency0" xfId="107" xr:uid="{00000000-0005-0000-0000-00003B000000}"/>
    <cellStyle name="Date" xfId="108" xr:uid="{00000000-0005-0000-0000-00003C000000}"/>
    <cellStyle name="Date Aligned" xfId="109" xr:uid="{00000000-0005-0000-0000-00003D000000}"/>
    <cellStyle name="Date_Board 26th March_excel" xfId="110" xr:uid="{00000000-0005-0000-0000-00003E000000}"/>
    <cellStyle name="Dec_0" xfId="111" xr:uid="{00000000-0005-0000-0000-00003F000000}"/>
    <cellStyle name="Dezimal_Financial Statements 17-04-02" xfId="112" xr:uid="{00000000-0005-0000-0000-000040000000}"/>
    <cellStyle name="Dollars" xfId="113" xr:uid="{00000000-0005-0000-0000-000041000000}"/>
    <cellStyle name="Dotted Line" xfId="114" xr:uid="{00000000-0005-0000-0000-000042000000}"/>
    <cellStyle name="Double Accounting" xfId="115" xr:uid="{00000000-0005-0000-0000-000043000000}"/>
    <cellStyle name="Euro" xfId="116" xr:uid="{00000000-0005-0000-0000-000044000000}"/>
    <cellStyle name="Ezres [0]_1nért1" xfId="117" xr:uid="{00000000-0005-0000-0000-000045000000}"/>
    <cellStyle name="Ezres_1nért1" xfId="118" xr:uid="{00000000-0005-0000-0000-000046000000}"/>
    <cellStyle name="Fixed" xfId="119" xr:uid="{00000000-0005-0000-0000-000047000000}"/>
    <cellStyle name="footer" xfId="120" xr:uid="{00000000-0005-0000-0000-000048000000}"/>
    <cellStyle name="Footnote" xfId="121" xr:uid="{00000000-0005-0000-0000-000049000000}"/>
    <cellStyle name="Green" xfId="122" xr:uid="{00000000-0005-0000-0000-00004A000000}"/>
    <cellStyle name="Hard Percent" xfId="123" xr:uid="{00000000-0005-0000-0000-00004B000000}"/>
    <cellStyle name="Header" xfId="124" xr:uid="{00000000-0005-0000-0000-00004C000000}"/>
    <cellStyle name="Header1" xfId="125" xr:uid="{00000000-0005-0000-0000-00004D000000}"/>
    <cellStyle name="Header2" xfId="126" xr:uid="{00000000-0005-0000-0000-00004E000000}"/>
    <cellStyle name="heading" xfId="127" xr:uid="{00000000-0005-0000-0000-00004F000000}"/>
    <cellStyle name="HeadingS" xfId="128" xr:uid="{00000000-0005-0000-0000-000050000000}"/>
    <cellStyle name="Hide" xfId="129" xr:uid="{00000000-0005-0000-0000-000051000000}"/>
    <cellStyle name="Hiperhivatkozás_Diagnostic output summary sheets (part 2).xls Diagram 2" xfId="130" xr:uid="{00000000-0005-0000-0000-000052000000}"/>
    <cellStyle name="Hyperlink 2" xfId="131" xr:uid="{00000000-0005-0000-0000-000053000000}"/>
    <cellStyle name="Iau?iue_vaqduGfTSN7qyUJNWHRlcWo3H" xfId="132" xr:uid="{00000000-0005-0000-0000-000054000000}"/>
    <cellStyle name="Îáû÷íûé_vaqduGfTSN7qyUJNWHRlcWo3H" xfId="133" xr:uid="{00000000-0005-0000-0000-000055000000}"/>
    <cellStyle name="Komma [0]_Arcen" xfId="134" xr:uid="{00000000-0005-0000-0000-000056000000}"/>
    <cellStyle name="Komma_Arcen" xfId="135" xr:uid="{00000000-0005-0000-0000-000057000000}"/>
    <cellStyle name="Már látott hiperhivatkozás_Diagnostic output summary sheets (part 2).xls Diagram 2" xfId="136" xr:uid="{00000000-0005-0000-0000-000058000000}"/>
    <cellStyle name="měny_Budget Book" xfId="137" xr:uid="{00000000-0005-0000-0000-000059000000}"/>
    <cellStyle name="Migliaia (0)" xfId="138" xr:uid="{00000000-0005-0000-0000-00005A000000}"/>
    <cellStyle name="Milliers [0]_BUDGET" xfId="139" xr:uid="{00000000-0005-0000-0000-00005B000000}"/>
    <cellStyle name="Milliers_BUDGET" xfId="140" xr:uid="{00000000-0005-0000-0000-00005C000000}"/>
    <cellStyle name="Monétaire [0]_BUDGET" xfId="141" xr:uid="{00000000-0005-0000-0000-00005D000000}"/>
    <cellStyle name="Monétaire_BUDGET" xfId="142" xr:uid="{00000000-0005-0000-0000-00005E000000}"/>
    <cellStyle name="Multiple" xfId="143" xr:uid="{00000000-0005-0000-0000-00005F000000}"/>
    <cellStyle name="Multiple [0]" xfId="144" xr:uid="{00000000-0005-0000-0000-000060000000}"/>
    <cellStyle name="Multiple [1]" xfId="145" xr:uid="{00000000-0005-0000-0000-000061000000}"/>
    <cellStyle name="Multiple_1 Dec" xfId="146" xr:uid="{00000000-0005-0000-0000-000062000000}"/>
    <cellStyle name="no dec" xfId="147" xr:uid="{00000000-0005-0000-0000-000063000000}"/>
    <cellStyle name="Normal" xfId="0" builtinId="0"/>
    <cellStyle name="Normal - Style1" xfId="148" xr:uid="{00000000-0005-0000-0000-000065000000}"/>
    <cellStyle name="Normal 2" xfId="149" xr:uid="{00000000-0005-0000-0000-000066000000}"/>
    <cellStyle name="Normal 2 2" xfId="150" xr:uid="{00000000-0005-0000-0000-000067000000}"/>
    <cellStyle name="Normal 3" xfId="205" xr:uid="{00000000-0005-0000-0000-000068000000}"/>
    <cellStyle name="Normal 3 2 2" xfId="207" xr:uid="{3B4228EC-5068-4DAA-BD0C-6C5FEFCD9D8C}"/>
    <cellStyle name="Normal 4" xfId="208" xr:uid="{1C8F6021-6E13-4B23-85AE-F79625372493}"/>
    <cellStyle name="Normál_1." xfId="151" xr:uid="{00000000-0005-0000-0000-000069000000}"/>
    <cellStyle name="NormalGB" xfId="152" xr:uid="{00000000-0005-0000-0000-00006A000000}"/>
    <cellStyle name="normální_2.4.2.1" xfId="153" xr:uid="{00000000-0005-0000-0000-00006B000000}"/>
    <cellStyle name="Output Amounts" xfId="154" xr:uid="{00000000-0005-0000-0000-00006C000000}"/>
    <cellStyle name="Output Column Headings" xfId="155" xr:uid="{00000000-0005-0000-0000-00006D000000}"/>
    <cellStyle name="Output Line Items" xfId="156" xr:uid="{00000000-0005-0000-0000-00006E000000}"/>
    <cellStyle name="Output Report Heading" xfId="157" xr:uid="{00000000-0005-0000-0000-00006F000000}"/>
    <cellStyle name="Output Report Title" xfId="158" xr:uid="{00000000-0005-0000-0000-000070000000}"/>
    <cellStyle name="Outputtitle" xfId="159" xr:uid="{00000000-0005-0000-0000-000071000000}"/>
    <cellStyle name="Page Number" xfId="160" xr:uid="{00000000-0005-0000-0000-000072000000}"/>
    <cellStyle name="PB Table Heading" xfId="161" xr:uid="{00000000-0005-0000-0000-000073000000}"/>
    <cellStyle name="PB Table Highlight1" xfId="162" xr:uid="{00000000-0005-0000-0000-000074000000}"/>
    <cellStyle name="PB Table Highlight2" xfId="163" xr:uid="{00000000-0005-0000-0000-000075000000}"/>
    <cellStyle name="PB Table Highlight3" xfId="164" xr:uid="{00000000-0005-0000-0000-000076000000}"/>
    <cellStyle name="PB Table Standard Row" xfId="165" xr:uid="{00000000-0005-0000-0000-000077000000}"/>
    <cellStyle name="PB Table Subtotal Row" xfId="166" xr:uid="{00000000-0005-0000-0000-000078000000}"/>
    <cellStyle name="PB Table Total Row" xfId="167" xr:uid="{00000000-0005-0000-0000-000079000000}"/>
    <cellStyle name="Pénznem [0]_1nért1" xfId="168" xr:uid="{00000000-0005-0000-0000-00007A000000}"/>
    <cellStyle name="Pénznem_1nért1" xfId="169" xr:uid="{00000000-0005-0000-0000-00007B000000}"/>
    <cellStyle name="Per cent" xfId="1" builtinId="5"/>
    <cellStyle name="Percent [0]" xfId="171" xr:uid="{00000000-0005-0000-0000-00007D000000}"/>
    <cellStyle name="Percent [1]" xfId="172" xr:uid="{00000000-0005-0000-0000-00007E000000}"/>
    <cellStyle name="Percent 2" xfId="173" xr:uid="{00000000-0005-0000-0000-00007F000000}"/>
    <cellStyle name="Percent 3" xfId="174" xr:uid="{00000000-0005-0000-0000-000080000000}"/>
    <cellStyle name="Percent 4" xfId="175" xr:uid="{00000000-0005-0000-0000-000081000000}"/>
    <cellStyle name="Percent 5" xfId="206" xr:uid="{00000000-0005-0000-0000-000082000000}"/>
    <cellStyle name="Red" xfId="176" xr:uid="{00000000-0005-0000-0000-000083000000}"/>
    <cellStyle name="Salomon Logo" xfId="177" xr:uid="{00000000-0005-0000-0000-000084000000}"/>
    <cellStyle name="ScotchRule" xfId="178" xr:uid="{00000000-0005-0000-0000-000085000000}"/>
    <cellStyle name="Single Accounting" xfId="179" xr:uid="{00000000-0005-0000-0000-000086000000}"/>
    <cellStyle name="small" xfId="180" xr:uid="{00000000-0005-0000-0000-000087000000}"/>
    <cellStyle name="Standard_HL9798Janek" xfId="181" xr:uid="{00000000-0005-0000-0000-000088000000}"/>
    <cellStyle name="Subtitle" xfId="182" xr:uid="{00000000-0005-0000-0000-000089000000}"/>
    <cellStyle name="Table Head" xfId="183" xr:uid="{00000000-0005-0000-0000-00008A000000}"/>
    <cellStyle name="Table Head Aligned" xfId="184" xr:uid="{00000000-0005-0000-0000-00008B000000}"/>
    <cellStyle name="Table Head Blue" xfId="185" xr:uid="{00000000-0005-0000-0000-00008C000000}"/>
    <cellStyle name="Table Head Green" xfId="186" xr:uid="{00000000-0005-0000-0000-00008D000000}"/>
    <cellStyle name="Table Head_Val_Sum_Graph" xfId="187" xr:uid="{00000000-0005-0000-0000-00008E000000}"/>
    <cellStyle name="Table Text" xfId="188" xr:uid="{00000000-0005-0000-0000-00008F000000}"/>
    <cellStyle name="Table Title" xfId="189" xr:uid="{00000000-0005-0000-0000-000090000000}"/>
    <cellStyle name="Table Units" xfId="190" xr:uid="{00000000-0005-0000-0000-000091000000}"/>
    <cellStyle name="Table_Header" xfId="191" xr:uid="{00000000-0005-0000-0000-000092000000}"/>
    <cellStyle name="Text 1" xfId="192" xr:uid="{00000000-0005-0000-0000-000093000000}"/>
    <cellStyle name="Text Head 1" xfId="193" xr:uid="{00000000-0005-0000-0000-000094000000}"/>
    <cellStyle name="Times 10" xfId="194" xr:uid="{00000000-0005-0000-0000-000095000000}"/>
    <cellStyle name="Times 12" xfId="195" xr:uid="{00000000-0005-0000-0000-000096000000}"/>
    <cellStyle name="Underline_Single" xfId="196" xr:uid="{00000000-0005-0000-0000-000097000000}"/>
    <cellStyle name="Valuta (0)" xfId="197" xr:uid="{00000000-0005-0000-0000-000098000000}"/>
    <cellStyle name="Valuta [0]_Arcen" xfId="198" xr:uid="{00000000-0005-0000-0000-000099000000}"/>
    <cellStyle name="Valuta_Arcen" xfId="199" xr:uid="{00000000-0005-0000-0000-00009A000000}"/>
    <cellStyle name="year" xfId="200" xr:uid="{00000000-0005-0000-0000-00009B000000}"/>
    <cellStyle name="Yen" xfId="201" xr:uid="{00000000-0005-0000-0000-00009C000000}"/>
    <cellStyle name="Акцент1 2" xfId="35" xr:uid="{00000000-0005-0000-0000-00009D000000}"/>
    <cellStyle name="Акцент2 2" xfId="36" xr:uid="{00000000-0005-0000-0000-00009E000000}"/>
    <cellStyle name="Акцент3 2" xfId="37" xr:uid="{00000000-0005-0000-0000-00009F000000}"/>
    <cellStyle name="Акцент4 2" xfId="38" xr:uid="{00000000-0005-0000-0000-0000A0000000}"/>
    <cellStyle name="Акцент5 2" xfId="39" xr:uid="{00000000-0005-0000-0000-0000A1000000}"/>
    <cellStyle name="Акцент6 2" xfId="40" xr:uid="{00000000-0005-0000-0000-0000A2000000}"/>
    <cellStyle name="Ввод  2" xfId="41" xr:uid="{00000000-0005-0000-0000-0000A3000000}"/>
    <cellStyle name="Вывод 2" xfId="42" xr:uid="{00000000-0005-0000-0000-0000A4000000}"/>
    <cellStyle name="Вычисление 2" xfId="43" xr:uid="{00000000-0005-0000-0000-0000A5000000}"/>
    <cellStyle name="Гиперссылка 2" xfId="44" xr:uid="{00000000-0005-0000-0000-0000A6000000}"/>
    <cellStyle name="Гиперссылка 3" xfId="45" xr:uid="{00000000-0005-0000-0000-0000A7000000}"/>
    <cellStyle name="Гиперссылка 4" xfId="46" xr:uid="{00000000-0005-0000-0000-0000A8000000}"/>
    <cellStyle name="Гиперссылка 5" xfId="47" xr:uid="{00000000-0005-0000-0000-0000A9000000}"/>
    <cellStyle name="Денежный 2" xfId="103" xr:uid="{00000000-0005-0000-0000-0000AA000000}"/>
    <cellStyle name="Заголовок 1 2" xfId="48" xr:uid="{00000000-0005-0000-0000-0000AB000000}"/>
    <cellStyle name="Заголовок 2 2" xfId="49" xr:uid="{00000000-0005-0000-0000-0000AC000000}"/>
    <cellStyle name="Заголовок 3 2" xfId="50" xr:uid="{00000000-0005-0000-0000-0000AD000000}"/>
    <cellStyle name="Заголовок 4 2" xfId="51" xr:uid="{00000000-0005-0000-0000-0000AE000000}"/>
    <cellStyle name="Итог 2" xfId="52" xr:uid="{00000000-0005-0000-0000-0000AF000000}"/>
    <cellStyle name="Контрольная ячейка 2" xfId="53" xr:uid="{00000000-0005-0000-0000-0000B0000000}"/>
    <cellStyle name="Название 2" xfId="54" xr:uid="{00000000-0005-0000-0000-0000B1000000}"/>
    <cellStyle name="Нейтральный 2" xfId="55" xr:uid="{00000000-0005-0000-0000-0000B2000000}"/>
    <cellStyle name="Обычный 2" xfId="5" xr:uid="{00000000-0005-0000-0000-0000B3000000}"/>
    <cellStyle name="Обычный 2 2" xfId="2" xr:uid="{00000000-0005-0000-0000-0000B4000000}"/>
    <cellStyle name="Обычный 2 3" xfId="204" xr:uid="{00000000-0005-0000-0000-0000B5000000}"/>
    <cellStyle name="Обычный 2 8" xfId="6" xr:uid="{00000000-0005-0000-0000-0000B6000000}"/>
    <cellStyle name="Обычный 3" xfId="7" xr:uid="{00000000-0005-0000-0000-0000B7000000}"/>
    <cellStyle name="Обычный 4" xfId="8" xr:uid="{00000000-0005-0000-0000-0000B8000000}"/>
    <cellStyle name="Обычный 4 2" xfId="9" xr:uid="{00000000-0005-0000-0000-0000B9000000}"/>
    <cellStyle name="Обычный 5" xfId="10" xr:uid="{00000000-0005-0000-0000-0000BA000000}"/>
    <cellStyle name="Обычный 6" xfId="75" xr:uid="{00000000-0005-0000-0000-0000BB000000}"/>
    <cellStyle name="Обычный 8" xfId="11" xr:uid="{00000000-0005-0000-0000-0000BC000000}"/>
    <cellStyle name="Обычный_FM_PRJ_1" xfId="209" xr:uid="{FC5B2E18-89D1-4A1B-9CC6-DD094E56F4F6}"/>
    <cellStyle name="Плохой 2" xfId="56" xr:uid="{00000000-0005-0000-0000-0000BE000000}"/>
    <cellStyle name="Пояснение 2" xfId="57" xr:uid="{00000000-0005-0000-0000-0000BF000000}"/>
    <cellStyle name="Примечание 2" xfId="58" xr:uid="{00000000-0005-0000-0000-0000C0000000}"/>
    <cellStyle name="Процентный 2" xfId="4" xr:uid="{00000000-0005-0000-0000-0000C1000000}"/>
    <cellStyle name="Процентный 3" xfId="12" xr:uid="{00000000-0005-0000-0000-0000C2000000}"/>
    <cellStyle name="Процентный 4" xfId="170" xr:uid="{00000000-0005-0000-0000-0000C3000000}"/>
    <cellStyle name="Связанная ячейка 2" xfId="59" xr:uid="{00000000-0005-0000-0000-0000C4000000}"/>
    <cellStyle name="Стиль 1" xfId="202" xr:uid="{00000000-0005-0000-0000-0000C5000000}"/>
    <cellStyle name="Текст предупреждения 2" xfId="60" xr:uid="{00000000-0005-0000-0000-0000C6000000}"/>
    <cellStyle name="Финансовый [0] 2" xfId="13" xr:uid="{00000000-0005-0000-0000-0000C7000000}"/>
    <cellStyle name="Финансовый [0] 2 2" xfId="3" xr:uid="{00000000-0005-0000-0000-0000C8000000}"/>
    <cellStyle name="Финансовый [0] 2 3" xfId="61" xr:uid="{00000000-0005-0000-0000-0000C9000000}"/>
    <cellStyle name="Финансовый 2" xfId="14" xr:uid="{00000000-0005-0000-0000-0000CA000000}"/>
    <cellStyle name="Финансовый 3" xfId="15" xr:uid="{00000000-0005-0000-0000-0000CB000000}"/>
    <cellStyle name="Финансовый 4" xfId="16" xr:uid="{00000000-0005-0000-0000-0000CC000000}"/>
    <cellStyle name="Финансовый 5" xfId="96" xr:uid="{00000000-0005-0000-0000-0000CD000000}"/>
    <cellStyle name="Финансовый 6" xfId="203" xr:uid="{00000000-0005-0000-0000-0000CE000000}"/>
    <cellStyle name="Хороший 2" xfId="62" xr:uid="{00000000-0005-0000-0000-0000CF000000}"/>
  </cellStyles>
  <dxfs count="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выручки и чистой прибыли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ОПиУ!$A$3</c:f>
              <c:strCache>
                <c:ptCount val="1"/>
                <c:pt idx="0">
                  <c:v>ВЫРУЧКА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ОПиУ!$B$40:$Q$40</c:f>
              <c:numCache>
                <c:formatCode>General</c:formatCode>
                <c:ptCount val="1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</c:numCache>
            </c:numRef>
          </c:cat>
          <c:val>
            <c:numRef>
              <c:f>ОПиУ!$B$3:$Q$3</c:f>
              <c:numCache>
                <c:formatCode>[$$-4809]#\ ##0</c:formatCode>
                <c:ptCount val="16"/>
                <c:pt idx="0">
                  <c:v>0</c:v>
                </c:pt>
                <c:pt idx="1">
                  <c:v>667078.73716241913</c:v>
                </c:pt>
                <c:pt idx="2">
                  <c:v>47448442.604654744</c:v>
                </c:pt>
                <c:pt idx="3">
                  <c:v>28205793.43073611</c:v>
                </c:pt>
                <c:pt idx="4">
                  <c:v>29767417.949071139</c:v>
                </c:pt>
                <c:pt idx="5">
                  <c:v>31404625.936270054</c:v>
                </c:pt>
                <c:pt idx="6">
                  <c:v>33131880.36276491</c:v>
                </c:pt>
                <c:pt idx="7">
                  <c:v>34954133.782716967</c:v>
                </c:pt>
                <c:pt idx="8">
                  <c:v>36876611.140766412</c:v>
                </c:pt>
                <c:pt idx="9">
                  <c:v>38904824.753508553</c:v>
                </c:pt>
                <c:pt idx="10">
                  <c:v>41044590.114951521</c:v>
                </c:pt>
                <c:pt idx="11">
                  <c:v>43302042.571273856</c:v>
                </c:pt>
                <c:pt idx="12">
                  <c:v>42644663.161255866</c:v>
                </c:pt>
                <c:pt idx="13">
                  <c:v>44756956.020353511</c:v>
                </c:pt>
                <c:pt idx="14">
                  <c:v>46985424.986701533</c:v>
                </c:pt>
                <c:pt idx="15">
                  <c:v>49336459.746198684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B-46E9-8C17-814C7BEED993}"/>
            </c:ext>
          </c:extLst>
        </c:ser>
        <c:ser>
          <c:idx val="1"/>
          <c:order val="1"/>
          <c:tx>
            <c:strRef>
              <c:f>ОПиУ!$A$37</c:f>
              <c:strCache>
                <c:ptCount val="1"/>
                <c:pt idx="0">
                  <c:v>ЧИСТАЯ ПРИБЫЛЬ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ОПиУ!$B$40:$Q$40</c:f>
              <c:numCache>
                <c:formatCode>General</c:formatCode>
                <c:ptCount val="1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</c:numCache>
            </c:numRef>
          </c:cat>
          <c:val>
            <c:numRef>
              <c:f>ОПиУ!$B$37:$Q$37</c:f>
              <c:numCache>
                <c:formatCode>[$$-409]#\ ##0</c:formatCode>
                <c:ptCount val="16"/>
                <c:pt idx="0">
                  <c:v>-2989722.0810616626</c:v>
                </c:pt>
                <c:pt idx="1">
                  <c:v>-8789125.7310788315</c:v>
                </c:pt>
                <c:pt idx="2">
                  <c:v>33410144.69832008</c:v>
                </c:pt>
                <c:pt idx="3">
                  <c:v>1323848.1031083153</c:v>
                </c:pt>
                <c:pt idx="4">
                  <c:v>-1452757.322065942</c:v>
                </c:pt>
                <c:pt idx="5">
                  <c:v>-561274.94745757733</c:v>
                </c:pt>
                <c:pt idx="6">
                  <c:v>-1456889.3532019393</c:v>
                </c:pt>
                <c:pt idx="7">
                  <c:v>4207575.8349879785</c:v>
                </c:pt>
                <c:pt idx="8">
                  <c:v>8756343.2176740505</c:v>
                </c:pt>
                <c:pt idx="9">
                  <c:v>9730782.5034589842</c:v>
                </c:pt>
                <c:pt idx="10">
                  <c:v>10758816.501208656</c:v>
                </c:pt>
                <c:pt idx="11">
                  <c:v>19460370.21394629</c:v>
                </c:pt>
                <c:pt idx="12">
                  <c:v>18446166.019662801</c:v>
                </c:pt>
                <c:pt idx="13">
                  <c:v>19369010.334052786</c:v>
                </c:pt>
                <c:pt idx="14">
                  <c:v>20342611.555188667</c:v>
                </c:pt>
                <c:pt idx="15" formatCode="_(* #\ ##0_);_(* \(#\ ##0\);_(* &quot;-&quot;??_);_(@_)">
                  <c:v>21369761.291097578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8-4ECE-8102-361A6A440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9533136"/>
        <c:axId val="-2049532048"/>
      </c:lineChart>
      <c:catAx>
        <c:axId val="-204953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9532048"/>
        <c:crosses val="autoZero"/>
        <c:auto val="1"/>
        <c:lblAlgn val="ctr"/>
        <c:lblOffset val="100"/>
        <c:noMultiLvlLbl val="0"/>
      </c:catAx>
      <c:valAx>
        <c:axId val="-20495320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953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капитальных затрат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B4-42E6-AF9A-12A076E20E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B4-42E6-AF9A-12A076E20E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B4-42E6-AF9A-12A076E20E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B4-42E6-AF9A-12A076E20E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8B4-42E6-AF9A-12A076E20E3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8B4-42E6-AF9A-12A076E20E3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EE1-46C9-9610-43AA0403D4B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EE1-46C9-9610-43AA0403D4B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F77-478D-9105-B4C022820E4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F77-478D-9105-B4C022820E4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F77-478D-9105-B4C022820E4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789-41EA-9A29-22C5290BE4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('CapEx и аморт.'!$A$3,'CapEx и аморт.'!$A$10,'CapEx и аморт.'!$A$17:$A$24,'CapEx и аморт.'!$A$25)</c:f>
              <c:strCache>
                <c:ptCount val="11"/>
                <c:pt idx="0">
                  <c:v>Оборудование</c:v>
                </c:pt>
                <c:pt idx="1">
                  <c:v>Строительно-монтажные работы</c:v>
                </c:pt>
                <c:pt idx="2">
                  <c:v>Приобретение земельного участка</c:v>
                </c:pt>
                <c:pt idx="3">
                  <c:v>Приобретение фур (150 ед.) + холодильные камеры</c:v>
                </c:pt>
                <c:pt idx="4">
                  <c:v>Тара, 21 000 контейнеров</c:v>
                </c:pt>
                <c:pt idx="5">
                  <c:v>Прокладка кабеля 15км</c:v>
                </c:pt>
                <c:pt idx="6">
                  <c:v>3 электрогенератора</c:v>
                </c:pt>
                <c:pt idx="7">
                  <c:v>Модернизация СВХ</c:v>
                </c:pt>
                <c:pt idx="8">
                  <c:v>Дополнительные ж/д пути 400м</c:v>
                </c:pt>
                <c:pt idx="9">
                  <c:v>Электрические вилочные погрузчики, 7 ед.</c:v>
                </c:pt>
                <c:pt idx="10">
                  <c:v>Посев картофеля на 500га земли</c:v>
                </c:pt>
              </c:strCache>
            </c:strRef>
          </c:cat>
          <c:val>
            <c:numRef>
              <c:f>('CapEx и аморт.'!$D$3,'CapEx и аморт.'!$D$10,'CapEx и аморт.'!$D$17:$D$24,'CapEx и аморт.'!$D$25)</c:f>
              <c:numCache>
                <c:formatCode>#,##0</c:formatCode>
                <c:ptCount val="11"/>
                <c:pt idx="0">
                  <c:v>5034782280</c:v>
                </c:pt>
                <c:pt idx="1">
                  <c:v>20000000000</c:v>
                </c:pt>
                <c:pt idx="2">
                  <c:v>4732200000</c:v>
                </c:pt>
                <c:pt idx="3">
                  <c:v>7571520000</c:v>
                </c:pt>
                <c:pt idx="4">
                  <c:v>1500000000</c:v>
                </c:pt>
                <c:pt idx="5">
                  <c:v>3549150000</c:v>
                </c:pt>
                <c:pt idx="6">
                  <c:v>425898000</c:v>
                </c:pt>
                <c:pt idx="7">
                  <c:v>709830000</c:v>
                </c:pt>
                <c:pt idx="8">
                  <c:v>160894800</c:v>
                </c:pt>
                <c:pt idx="9">
                  <c:v>189000000</c:v>
                </c:pt>
                <c:pt idx="10">
                  <c:v>1183050000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B4-42E6-AF9A-12A076E20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095800524934381"/>
          <c:y val="0.12536702479947015"/>
          <c:w val="0.39524000177943858"/>
          <c:h val="0.87463297520052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цен в 2022 году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Цены!$A$3</c:f>
              <c:strCache>
                <c:ptCount val="1"/>
                <c:pt idx="0">
                  <c:v>Картофель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Цены!$B$2:$M$2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Цены!$B$3:$M$3</c:f>
              <c:numCache>
                <c:formatCode>#,##0</c:formatCode>
                <c:ptCount val="12"/>
                <c:pt idx="0">
                  <c:v>143</c:v>
                </c:pt>
                <c:pt idx="1">
                  <c:v>148</c:v>
                </c:pt>
                <c:pt idx="2">
                  <c:v>166</c:v>
                </c:pt>
                <c:pt idx="3">
                  <c:v>180</c:v>
                </c:pt>
                <c:pt idx="4">
                  <c:v>194</c:v>
                </c:pt>
                <c:pt idx="5">
                  <c:v>197</c:v>
                </c:pt>
                <c:pt idx="6">
                  <c:v>183</c:v>
                </c:pt>
                <c:pt idx="7">
                  <c:v>175</c:v>
                </c:pt>
                <c:pt idx="8">
                  <c:v>160</c:v>
                </c:pt>
                <c:pt idx="9">
                  <c:v>154</c:v>
                </c:pt>
                <c:pt idx="10">
                  <c:v>155</c:v>
                </c:pt>
                <c:pt idx="11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50-4065-98D7-8A768357FC8F}"/>
            </c:ext>
          </c:extLst>
        </c:ser>
        <c:ser>
          <c:idx val="1"/>
          <c:order val="1"/>
          <c:tx>
            <c:strRef>
              <c:f>Цены!$A$4</c:f>
              <c:strCache>
                <c:ptCount val="1"/>
                <c:pt idx="0">
                  <c:v>Морковь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Цены!$B$2:$M$2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Цены!$B$4:$M$4</c:f>
              <c:numCache>
                <c:formatCode>#,##0</c:formatCode>
                <c:ptCount val="12"/>
                <c:pt idx="0">
                  <c:v>145</c:v>
                </c:pt>
                <c:pt idx="1">
                  <c:v>149</c:v>
                </c:pt>
                <c:pt idx="2">
                  <c:v>165</c:v>
                </c:pt>
                <c:pt idx="3">
                  <c:v>186</c:v>
                </c:pt>
                <c:pt idx="4">
                  <c:v>201</c:v>
                </c:pt>
                <c:pt idx="5">
                  <c:v>213</c:v>
                </c:pt>
                <c:pt idx="6">
                  <c:v>203</c:v>
                </c:pt>
                <c:pt idx="7">
                  <c:v>193</c:v>
                </c:pt>
                <c:pt idx="8">
                  <c:v>162</c:v>
                </c:pt>
                <c:pt idx="9">
                  <c:v>151</c:v>
                </c:pt>
                <c:pt idx="10">
                  <c:v>145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0-4065-98D7-8A768357FC8F}"/>
            </c:ext>
          </c:extLst>
        </c:ser>
        <c:ser>
          <c:idx val="2"/>
          <c:order val="2"/>
          <c:tx>
            <c:strRef>
              <c:f>Цены!$A$5</c:f>
              <c:strCache>
                <c:ptCount val="1"/>
                <c:pt idx="0">
                  <c:v>Лук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Цены!$B$2:$M$2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Цены!$B$5:$M$5</c:f>
              <c:numCache>
                <c:formatCode>#,##0</c:formatCode>
                <c:ptCount val="12"/>
                <c:pt idx="0">
                  <c:v>89</c:v>
                </c:pt>
                <c:pt idx="1">
                  <c:v>90</c:v>
                </c:pt>
                <c:pt idx="2">
                  <c:v>106</c:v>
                </c:pt>
                <c:pt idx="3">
                  <c:v>137</c:v>
                </c:pt>
                <c:pt idx="4">
                  <c:v>155</c:v>
                </c:pt>
                <c:pt idx="5">
                  <c:v>173</c:v>
                </c:pt>
                <c:pt idx="6">
                  <c:v>192</c:v>
                </c:pt>
                <c:pt idx="7">
                  <c:v>188</c:v>
                </c:pt>
                <c:pt idx="8">
                  <c:v>125</c:v>
                </c:pt>
                <c:pt idx="9">
                  <c:v>116</c:v>
                </c:pt>
                <c:pt idx="10">
                  <c:v>116</c:v>
                </c:pt>
                <c:pt idx="11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50-4065-98D7-8A768357FC8F}"/>
            </c:ext>
          </c:extLst>
        </c:ser>
        <c:ser>
          <c:idx val="3"/>
          <c:order val="3"/>
          <c:tx>
            <c:strRef>
              <c:f>Цены!$A$6</c:f>
              <c:strCache>
                <c:ptCount val="1"/>
                <c:pt idx="0">
                  <c:v>Капуста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Цены!$B$2:$M$2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Цены!$B$6:$M$6</c:f>
              <c:numCache>
                <c:formatCode>#,##0</c:formatCode>
                <c:ptCount val="12"/>
                <c:pt idx="0">
                  <c:v>145</c:v>
                </c:pt>
                <c:pt idx="1">
                  <c:v>169</c:v>
                </c:pt>
                <c:pt idx="2">
                  <c:v>235</c:v>
                </c:pt>
                <c:pt idx="3">
                  <c:v>277</c:v>
                </c:pt>
                <c:pt idx="4">
                  <c:v>198</c:v>
                </c:pt>
                <c:pt idx="5">
                  <c:v>159</c:v>
                </c:pt>
                <c:pt idx="6">
                  <c:v>121</c:v>
                </c:pt>
                <c:pt idx="7">
                  <c:v>105</c:v>
                </c:pt>
                <c:pt idx="8">
                  <c:v>100</c:v>
                </c:pt>
                <c:pt idx="9">
                  <c:v>97</c:v>
                </c:pt>
                <c:pt idx="10">
                  <c:v>100</c:v>
                </c:pt>
                <c:pt idx="11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50-4065-98D7-8A768357F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953136"/>
        <c:axId val="1380702176"/>
      </c:lineChart>
      <c:dateAx>
        <c:axId val="1283953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702176"/>
        <c:crosses val="autoZero"/>
        <c:auto val="1"/>
        <c:lblOffset val="100"/>
        <c:baseTimeUnit val="months"/>
      </c:dateAx>
      <c:valAx>
        <c:axId val="13807021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95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Потребление овощей на</a:t>
            </a:r>
            <a:r>
              <a:rPr lang="ru-RU" baseline="0"/>
              <a:t> душу населения, кг/год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Графика!$A$137:$A$157</c:f>
              <c:strCache>
                <c:ptCount val="21"/>
                <c:pt idx="0">
                  <c:v>Туркестанская</c:v>
                </c:pt>
                <c:pt idx="1">
                  <c:v>Мангистауская</c:v>
                </c:pt>
                <c:pt idx="2">
                  <c:v>Алматы</c:v>
                </c:pt>
                <c:pt idx="3">
                  <c:v>Жетісу</c:v>
                </c:pt>
                <c:pt idx="4">
                  <c:v>Астана</c:v>
                </c:pt>
                <c:pt idx="5">
                  <c:v>Костанайская</c:v>
                </c:pt>
                <c:pt idx="6">
                  <c:v>Кызылординская</c:v>
                </c:pt>
                <c:pt idx="7">
                  <c:v>Шымкент</c:v>
                </c:pt>
                <c:pt idx="8">
                  <c:v>Республика Казахстан</c:v>
                </c:pt>
                <c:pt idx="9">
                  <c:v>Алматинская</c:v>
                </c:pt>
                <c:pt idx="10">
                  <c:v>Жамбылская</c:v>
                </c:pt>
                <c:pt idx="11">
                  <c:v>Павлодарская</c:v>
                </c:pt>
                <c:pt idx="12">
                  <c:v>Западно-Казахстанская</c:v>
                </c:pt>
                <c:pt idx="13">
                  <c:v>Карагандинская</c:v>
                </c:pt>
                <c:pt idx="14">
                  <c:v>Атырауская</c:v>
                </c:pt>
                <c:pt idx="15">
                  <c:v>Акмолинская</c:v>
                </c:pt>
                <c:pt idx="16">
                  <c:v>Восточно-Казахстанская</c:v>
                </c:pt>
                <c:pt idx="17">
                  <c:v>Северо-Казахстанская</c:v>
                </c:pt>
                <c:pt idx="18">
                  <c:v>Ұлытау</c:v>
                </c:pt>
                <c:pt idx="19">
                  <c:v>Актюбинская</c:v>
                </c:pt>
                <c:pt idx="20">
                  <c:v>Абай</c:v>
                </c:pt>
              </c:strCache>
            </c:strRef>
          </c:cat>
          <c:val>
            <c:numRef>
              <c:f>Графика!$B$137:$B$157</c:f>
              <c:numCache>
                <c:formatCode>_(* #\ ##0_);_(* \(#\ ##0\);_(* "-"??_);_(@_)</c:formatCode>
                <c:ptCount val="21"/>
                <c:pt idx="0">
                  <c:v>94.707999999999998</c:v>
                </c:pt>
                <c:pt idx="1">
                  <c:v>88.691999999999993</c:v>
                </c:pt>
                <c:pt idx="2">
                  <c:v>85.16</c:v>
                </c:pt>
                <c:pt idx="3">
                  <c:v>83.483999999999995</c:v>
                </c:pt>
                <c:pt idx="4">
                  <c:v>81.792000000000002</c:v>
                </c:pt>
                <c:pt idx="5">
                  <c:v>81.260000000000005</c:v>
                </c:pt>
                <c:pt idx="6">
                  <c:v>78.275999999999996</c:v>
                </c:pt>
                <c:pt idx="7">
                  <c:v>77.78</c:v>
                </c:pt>
                <c:pt idx="8">
                  <c:v>76.432000000000002</c:v>
                </c:pt>
                <c:pt idx="9">
                  <c:v>75.212000000000003</c:v>
                </c:pt>
                <c:pt idx="10">
                  <c:v>73.507999999999996</c:v>
                </c:pt>
                <c:pt idx="11">
                  <c:v>73.323999999999998</c:v>
                </c:pt>
                <c:pt idx="12">
                  <c:v>69.691999999999993</c:v>
                </c:pt>
                <c:pt idx="13">
                  <c:v>69.144000000000005</c:v>
                </c:pt>
                <c:pt idx="14">
                  <c:v>67.876000000000005</c:v>
                </c:pt>
                <c:pt idx="15">
                  <c:v>63.183999999999997</c:v>
                </c:pt>
                <c:pt idx="16">
                  <c:v>63.116</c:v>
                </c:pt>
                <c:pt idx="17">
                  <c:v>61.792000000000002</c:v>
                </c:pt>
                <c:pt idx="18">
                  <c:v>60.448</c:v>
                </c:pt>
                <c:pt idx="19">
                  <c:v>60.088000000000001</c:v>
                </c:pt>
                <c:pt idx="20">
                  <c:v>52.968000000000004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C-4776-81D8-6433D7C0A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817808"/>
        <c:axId val="1284228128"/>
      </c:barChart>
      <c:catAx>
        <c:axId val="110181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228128"/>
        <c:crosses val="autoZero"/>
        <c:auto val="1"/>
        <c:lblAlgn val="ctr"/>
        <c:lblOffset val="100"/>
        <c:noMultiLvlLbl val="0"/>
      </c:catAx>
      <c:valAx>
        <c:axId val="12842281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81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Объем потребления</a:t>
            </a:r>
            <a:r>
              <a:rPr lang="ru-RU" baseline="0"/>
              <a:t> овощей, тонн/год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Графика!$H$115:$H$134</c:f>
              <c:strCache>
                <c:ptCount val="20"/>
                <c:pt idx="0">
                  <c:v>Туркестанская</c:v>
                </c:pt>
                <c:pt idx="1">
                  <c:v>Алматы</c:v>
                </c:pt>
                <c:pt idx="2">
                  <c:v>Алматинская</c:v>
                </c:pt>
                <c:pt idx="3">
                  <c:v>Астана</c:v>
                </c:pt>
                <c:pt idx="4">
                  <c:v>Шымкент</c:v>
                </c:pt>
                <c:pt idx="5">
                  <c:v>Жамбылская</c:v>
                </c:pt>
                <c:pt idx="6">
                  <c:v>Карагандинская</c:v>
                </c:pt>
                <c:pt idx="7">
                  <c:v>Костанайская</c:v>
                </c:pt>
                <c:pt idx="8">
                  <c:v>Мангистауская</c:v>
                </c:pt>
                <c:pt idx="9">
                  <c:v>Кызылординская</c:v>
                </c:pt>
                <c:pt idx="10">
                  <c:v>Жетісу</c:v>
                </c:pt>
                <c:pt idx="11">
                  <c:v>Актюбинская</c:v>
                </c:pt>
                <c:pt idx="12">
                  <c:v>Павлодарская</c:v>
                </c:pt>
                <c:pt idx="13">
                  <c:v>Акмолинская</c:v>
                </c:pt>
                <c:pt idx="14">
                  <c:v>Западно-Казахстанская</c:v>
                </c:pt>
                <c:pt idx="15">
                  <c:v>Атырауская</c:v>
                </c:pt>
                <c:pt idx="16">
                  <c:v>Восточно-Казахстанская</c:v>
                </c:pt>
                <c:pt idx="17">
                  <c:v>Северо-Казахстанская</c:v>
                </c:pt>
                <c:pt idx="18">
                  <c:v>Абай</c:v>
                </c:pt>
                <c:pt idx="19">
                  <c:v>Ұлытау</c:v>
                </c:pt>
              </c:strCache>
            </c:strRef>
          </c:cat>
          <c:val>
            <c:numRef>
              <c:f>Графика!$I$115:$I$134</c:f>
              <c:numCache>
                <c:formatCode>_(* #\ ##0_);_(* \(#\ ##0\);_(* "-"??_);_(@_)</c:formatCode>
                <c:ptCount val="20"/>
                <c:pt idx="0">
                  <c:v>199245.45919600001</c:v>
                </c:pt>
                <c:pt idx="1">
                  <c:v>181526.20440000002</c:v>
                </c:pt>
                <c:pt idx="2">
                  <c:v>112234.35488000001</c:v>
                </c:pt>
                <c:pt idx="3">
                  <c:v>108380.370816</c:v>
                </c:pt>
                <c:pt idx="4">
                  <c:v>91554.293540000013</c:v>
                </c:pt>
                <c:pt idx="5">
                  <c:v>89224.745479999983</c:v>
                </c:pt>
                <c:pt idx="6">
                  <c:v>78468.759839999999</c:v>
                </c:pt>
                <c:pt idx="7">
                  <c:v>67762.551480000009</c:v>
                </c:pt>
                <c:pt idx="8">
                  <c:v>67089.55563599999</c:v>
                </c:pt>
                <c:pt idx="9">
                  <c:v>64843.133915999992</c:v>
                </c:pt>
                <c:pt idx="10">
                  <c:v>58331.606544000002</c:v>
                </c:pt>
                <c:pt idx="11">
                  <c:v>55429.257184000002</c:v>
                </c:pt>
                <c:pt idx="12">
                  <c:v>55411.460067999993</c:v>
                </c:pt>
                <c:pt idx="13">
                  <c:v>49715.698559999997</c:v>
                </c:pt>
                <c:pt idx="14">
                  <c:v>47788.431627999998</c:v>
                </c:pt>
                <c:pt idx="15">
                  <c:v>46640.382516000005</c:v>
                </c:pt>
                <c:pt idx="16">
                  <c:v>46173.709004000004</c:v>
                </c:pt>
                <c:pt idx="17">
                  <c:v>33155.609856000003</c:v>
                </c:pt>
                <c:pt idx="18">
                  <c:v>32365.513751999999</c:v>
                </c:pt>
                <c:pt idx="19">
                  <c:v>13368.316992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D65-AC95-80E339314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86502816"/>
        <c:axId val="1380676256"/>
      </c:barChart>
      <c:catAx>
        <c:axId val="1386502816"/>
        <c:scaling>
          <c:orientation val="maxMin"/>
        </c:scaling>
        <c:delete val="0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676256"/>
        <c:crosses val="autoZero"/>
        <c:auto val="1"/>
        <c:lblAlgn val="ctr"/>
        <c:lblOffset val="100"/>
        <c:noMultiLvlLbl val="0"/>
      </c:catAx>
      <c:valAx>
        <c:axId val="1380676256"/>
        <c:scaling>
          <c:orientation val="minMax"/>
          <c:max val="200000"/>
        </c:scaling>
        <c:delete val="0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50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47-498A-89F1-9E2D088D61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47-498A-89F1-9E2D088D61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47-498A-89F1-9E2D088D61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47-498A-89F1-9E2D088D61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47-498A-89F1-9E2D088D61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47-498A-89F1-9E2D088D614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47-498A-89F1-9E2D088D614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47-498A-89F1-9E2D088D614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47-498A-89F1-9E2D088D614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947-498A-89F1-9E2D088D614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947-498A-89F1-9E2D088D614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947-498A-89F1-9E2D088D614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947-498A-89F1-9E2D088D614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947-498A-89F1-9E2D088D614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947-498A-89F1-9E2D088D614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947-498A-89F1-9E2D088D614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947-498A-89F1-9E2D088D614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947-498A-89F1-9E2D088D614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947-498A-89F1-9E2D088D614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947-498A-89F1-9E2D088D61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Графика!$H$115:$H$134</c:f>
              <c:strCache>
                <c:ptCount val="20"/>
                <c:pt idx="0">
                  <c:v>Туркестанская</c:v>
                </c:pt>
                <c:pt idx="1">
                  <c:v>Алматы</c:v>
                </c:pt>
                <c:pt idx="2">
                  <c:v>Алматинская</c:v>
                </c:pt>
                <c:pt idx="3">
                  <c:v>Астана</c:v>
                </c:pt>
                <c:pt idx="4">
                  <c:v>Шымкент</c:v>
                </c:pt>
                <c:pt idx="5">
                  <c:v>Жамбылская</c:v>
                </c:pt>
                <c:pt idx="6">
                  <c:v>Карагандинская</c:v>
                </c:pt>
                <c:pt idx="7">
                  <c:v>Костанайская</c:v>
                </c:pt>
                <c:pt idx="8">
                  <c:v>Мангистауская</c:v>
                </c:pt>
                <c:pt idx="9">
                  <c:v>Кызылординская</c:v>
                </c:pt>
                <c:pt idx="10">
                  <c:v>Жетісу</c:v>
                </c:pt>
                <c:pt idx="11">
                  <c:v>Актюбинская</c:v>
                </c:pt>
                <c:pt idx="12">
                  <c:v>Павлодарская</c:v>
                </c:pt>
                <c:pt idx="13">
                  <c:v>Акмолинская</c:v>
                </c:pt>
                <c:pt idx="14">
                  <c:v>Западно-Казахстанская</c:v>
                </c:pt>
                <c:pt idx="15">
                  <c:v>Атырауская</c:v>
                </c:pt>
                <c:pt idx="16">
                  <c:v>Восточно-Казахстанская</c:v>
                </c:pt>
                <c:pt idx="17">
                  <c:v>Северо-Казахстанская</c:v>
                </c:pt>
                <c:pt idx="18">
                  <c:v>Абай</c:v>
                </c:pt>
                <c:pt idx="19">
                  <c:v>Ұлытау</c:v>
                </c:pt>
              </c:strCache>
            </c:strRef>
          </c:cat>
          <c:val>
            <c:numRef>
              <c:f>Графика!$I$115:$I$134</c:f>
              <c:numCache>
                <c:formatCode>_(* #\ ##0_);_(* \(#\ ##0\);_(* "-"??_);_(@_)</c:formatCode>
                <c:ptCount val="20"/>
                <c:pt idx="0">
                  <c:v>199245.45919600001</c:v>
                </c:pt>
                <c:pt idx="1">
                  <c:v>181526.20440000002</c:v>
                </c:pt>
                <c:pt idx="2">
                  <c:v>112234.35488000001</c:v>
                </c:pt>
                <c:pt idx="3">
                  <c:v>108380.370816</c:v>
                </c:pt>
                <c:pt idx="4">
                  <c:v>91554.293540000013</c:v>
                </c:pt>
                <c:pt idx="5">
                  <c:v>89224.745479999983</c:v>
                </c:pt>
                <c:pt idx="6">
                  <c:v>78468.759839999999</c:v>
                </c:pt>
                <c:pt idx="7">
                  <c:v>67762.551480000009</c:v>
                </c:pt>
                <c:pt idx="8">
                  <c:v>67089.55563599999</c:v>
                </c:pt>
                <c:pt idx="9">
                  <c:v>64843.133915999992</c:v>
                </c:pt>
                <c:pt idx="10">
                  <c:v>58331.606544000002</c:v>
                </c:pt>
                <c:pt idx="11">
                  <c:v>55429.257184000002</c:v>
                </c:pt>
                <c:pt idx="12">
                  <c:v>55411.460067999993</c:v>
                </c:pt>
                <c:pt idx="13">
                  <c:v>49715.698559999997</c:v>
                </c:pt>
                <c:pt idx="14">
                  <c:v>47788.431627999998</c:v>
                </c:pt>
                <c:pt idx="15">
                  <c:v>46640.382516000005</c:v>
                </c:pt>
                <c:pt idx="16">
                  <c:v>46173.709004000004</c:v>
                </c:pt>
                <c:pt idx="17">
                  <c:v>33155.609856000003</c:v>
                </c:pt>
                <c:pt idx="18">
                  <c:v>32365.513751999999</c:v>
                </c:pt>
                <c:pt idx="19">
                  <c:v>13368.316992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E-412B-8B14-B8FD2FFD4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Графика!$A$161:$A$164</c:f>
              <c:strCache>
                <c:ptCount val="4"/>
                <c:pt idx="0">
                  <c:v>Картофель</c:v>
                </c:pt>
                <c:pt idx="1">
                  <c:v>Морковь</c:v>
                </c:pt>
                <c:pt idx="2">
                  <c:v>Лук</c:v>
                </c:pt>
                <c:pt idx="3">
                  <c:v>Капуста</c:v>
                </c:pt>
              </c:strCache>
            </c:strRef>
          </c:cat>
          <c:val>
            <c:numRef>
              <c:f>Графика!$C$161:$C$164</c:f>
              <c:numCache>
                <c:formatCode>_(* #\ ##0_);_(* \(#\ ##0\);_(* "-"??_);_(@_)</c:formatCode>
                <c:ptCount val="4"/>
                <c:pt idx="0">
                  <c:v>44.923999999999999</c:v>
                </c:pt>
                <c:pt idx="1">
                  <c:v>12.836</c:v>
                </c:pt>
                <c:pt idx="2">
                  <c:v>20.936</c:v>
                </c:pt>
                <c:pt idx="3">
                  <c:v>12.368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F-49E2-8FD8-531F2D8A9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6493536"/>
        <c:axId val="1380698336"/>
      </c:barChart>
      <c:catAx>
        <c:axId val="138649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698336"/>
        <c:crosses val="autoZero"/>
        <c:auto val="1"/>
        <c:lblAlgn val="ctr"/>
        <c:lblOffset val="100"/>
        <c:noMultiLvlLbl val="0"/>
      </c:catAx>
      <c:valAx>
        <c:axId val="13806983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49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Графика!$A$167</c:f>
              <c:strCache>
                <c:ptCount val="1"/>
                <c:pt idx="0">
                  <c:v>Республика Казахстан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Графика!$B$166:$E$166</c:f>
              <c:strCache>
                <c:ptCount val="4"/>
                <c:pt idx="0">
                  <c:v>Картофель</c:v>
                </c:pt>
                <c:pt idx="1">
                  <c:v>Морковь</c:v>
                </c:pt>
                <c:pt idx="2">
                  <c:v>Лук</c:v>
                </c:pt>
                <c:pt idx="3">
                  <c:v>Капуста</c:v>
                </c:pt>
              </c:strCache>
            </c:strRef>
          </c:cat>
          <c:val>
            <c:numRef>
              <c:f>Графика!$B$167:$E$167</c:f>
              <c:numCache>
                <c:formatCode>_(* #\ ##0_);_(* \(#\ ##0\);_(* "-"??_);_(@_)</c:formatCode>
                <c:ptCount val="4"/>
                <c:pt idx="0">
                  <c:v>882041.49976799998</c:v>
                </c:pt>
                <c:pt idx="1">
                  <c:v>252023.07655200001</c:v>
                </c:pt>
                <c:pt idx="2">
                  <c:v>411059.14075199998</c:v>
                </c:pt>
                <c:pt idx="3">
                  <c:v>242834.326176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D-4CB8-A503-E4C72734EFC0}"/>
            </c:ext>
          </c:extLst>
        </c:ser>
        <c:ser>
          <c:idx val="1"/>
          <c:order val="1"/>
          <c:tx>
            <c:strRef>
              <c:f>Графика!$A$168</c:f>
              <c:strCache>
                <c:ptCount val="1"/>
                <c:pt idx="0">
                  <c:v>Алматы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Графика!$B$166:$E$166</c:f>
              <c:strCache>
                <c:ptCount val="4"/>
                <c:pt idx="0">
                  <c:v>Картофель</c:v>
                </c:pt>
                <c:pt idx="1">
                  <c:v>Морковь</c:v>
                </c:pt>
                <c:pt idx="2">
                  <c:v>Лук</c:v>
                </c:pt>
                <c:pt idx="3">
                  <c:v>Капуста</c:v>
                </c:pt>
              </c:strCache>
            </c:strRef>
          </c:cat>
          <c:val>
            <c:numRef>
              <c:f>Графика!$B$168:$E$168</c:f>
              <c:numCache>
                <c:formatCode>_(* #\ ##0_);_(* \(#\ ##0\);_(* "-"??_);_(@_)</c:formatCode>
                <c:ptCount val="4"/>
                <c:pt idx="0">
                  <c:v>95759.549159999995</c:v>
                </c:pt>
                <c:pt idx="1">
                  <c:v>27361.089240000001</c:v>
                </c:pt>
                <c:pt idx="2">
                  <c:v>44626.968240000002</c:v>
                </c:pt>
                <c:pt idx="3">
                  <c:v>26363.505120000002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D-4CB8-A503-E4C72734EFC0}"/>
            </c:ext>
          </c:extLst>
        </c:ser>
        <c:ser>
          <c:idx val="2"/>
          <c:order val="2"/>
          <c:tx>
            <c:strRef>
              <c:f>Графика!$A$169</c:f>
              <c:strCache>
                <c:ptCount val="1"/>
                <c:pt idx="0">
                  <c:v>Астана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Графика!$B$166:$E$166</c:f>
              <c:strCache>
                <c:ptCount val="4"/>
                <c:pt idx="0">
                  <c:v>Картофель</c:v>
                </c:pt>
                <c:pt idx="1">
                  <c:v>Морковь</c:v>
                </c:pt>
                <c:pt idx="2">
                  <c:v>Лук</c:v>
                </c:pt>
                <c:pt idx="3">
                  <c:v>Капуста</c:v>
                </c:pt>
              </c:strCache>
            </c:strRef>
          </c:cat>
          <c:val>
            <c:numRef>
              <c:f>Графика!$B$169:$E$169</c:f>
              <c:numCache>
                <c:formatCode>_(* #\ ##0_);_(* \(#\ ##0\);_(* "-"??_);_(@_)</c:formatCode>
                <c:ptCount val="4"/>
                <c:pt idx="0">
                  <c:v>59527.579451999998</c:v>
                </c:pt>
                <c:pt idx="1">
                  <c:v>17008.637028000001</c:v>
                </c:pt>
                <c:pt idx="2">
                  <c:v>27741.728328000001</c:v>
                </c:pt>
                <c:pt idx="3">
                  <c:v>16388.502864000002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D-4CB8-A503-E4C72734EFC0}"/>
            </c:ext>
          </c:extLst>
        </c:ser>
        <c:ser>
          <c:idx val="3"/>
          <c:order val="3"/>
          <c:tx>
            <c:strRef>
              <c:f>Графика!$A$170</c:f>
              <c:strCache>
                <c:ptCount val="1"/>
                <c:pt idx="0">
                  <c:v>Шымкент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Графика!$B$166:$E$166</c:f>
              <c:strCache>
                <c:ptCount val="4"/>
                <c:pt idx="0">
                  <c:v>Картофель</c:v>
                </c:pt>
                <c:pt idx="1">
                  <c:v>Морковь</c:v>
                </c:pt>
                <c:pt idx="2">
                  <c:v>Лук</c:v>
                </c:pt>
                <c:pt idx="3">
                  <c:v>Капуста</c:v>
                </c:pt>
              </c:strCache>
            </c:strRef>
          </c:cat>
          <c:val>
            <c:numRef>
              <c:f>Графика!$B$170:$E$170</c:f>
              <c:numCache>
                <c:formatCode>_(* #\ ##0_);_(* \(#\ ##0\);_(* "-"??_);_(@_)</c:formatCode>
                <c:ptCount val="4"/>
                <c:pt idx="0">
                  <c:v>52879.725931999994</c:v>
                </c:pt>
                <c:pt idx="1">
                  <c:v>15109.165747999999</c:v>
                </c:pt>
                <c:pt idx="2">
                  <c:v>24643.619048</c:v>
                </c:pt>
                <c:pt idx="3">
                  <c:v>14558.286223999999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BD-4CB8-A503-E4C72734E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70094560"/>
        <c:axId val="1284236288"/>
      </c:barChart>
      <c:catAx>
        <c:axId val="1270094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236288"/>
        <c:crosses val="autoZero"/>
        <c:auto val="1"/>
        <c:lblAlgn val="ctr"/>
        <c:lblOffset val="100"/>
        <c:noMultiLvlLbl val="0"/>
      </c:catAx>
      <c:valAx>
        <c:axId val="1284236288"/>
        <c:scaling>
          <c:orientation val="minMax"/>
          <c:max val="900000"/>
        </c:scaling>
        <c:delete val="0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09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Графика!$A$168</c:f>
              <c:strCache>
                <c:ptCount val="1"/>
                <c:pt idx="0">
                  <c:v>Алматы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Графика!$B$166:$E$166</c:f>
              <c:strCache>
                <c:ptCount val="4"/>
                <c:pt idx="0">
                  <c:v>Картофель</c:v>
                </c:pt>
                <c:pt idx="1">
                  <c:v>Морковь</c:v>
                </c:pt>
                <c:pt idx="2">
                  <c:v>Лук</c:v>
                </c:pt>
                <c:pt idx="3">
                  <c:v>Капуста</c:v>
                </c:pt>
              </c:strCache>
            </c:strRef>
          </c:cat>
          <c:val>
            <c:numRef>
              <c:f>Графика!$B$168:$E$168</c:f>
              <c:numCache>
                <c:formatCode>_(* #\ ##0_);_(* \(#\ ##0\);_(* "-"??_);_(@_)</c:formatCode>
                <c:ptCount val="4"/>
                <c:pt idx="0">
                  <c:v>95759.549159999995</c:v>
                </c:pt>
                <c:pt idx="1">
                  <c:v>27361.089240000001</c:v>
                </c:pt>
                <c:pt idx="2">
                  <c:v>44626.968240000002</c:v>
                </c:pt>
                <c:pt idx="3">
                  <c:v>26363.505120000002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4-4BC0-908E-9131FD040E5A}"/>
            </c:ext>
          </c:extLst>
        </c:ser>
        <c:ser>
          <c:idx val="1"/>
          <c:order val="1"/>
          <c:tx>
            <c:strRef>
              <c:f>Графика!$A$172</c:f>
              <c:strCache>
                <c:ptCount val="1"/>
                <c:pt idx="0">
                  <c:v>Наш проект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Графика!$B$166:$E$166</c:f>
              <c:strCache>
                <c:ptCount val="4"/>
                <c:pt idx="0">
                  <c:v>Картофель</c:v>
                </c:pt>
                <c:pt idx="1">
                  <c:v>Морковь</c:v>
                </c:pt>
                <c:pt idx="2">
                  <c:v>Лук</c:v>
                </c:pt>
                <c:pt idx="3">
                  <c:v>Капуста</c:v>
                </c:pt>
              </c:strCache>
            </c:strRef>
          </c:cat>
          <c:val>
            <c:numRef>
              <c:f>Графика!$B$172:$E$172</c:f>
              <c:numCache>
                <c:formatCode>#,##0</c:formatCode>
                <c:ptCount val="4"/>
                <c:pt idx="0" formatCode="_(* #\ ##0_);_(* \(#\ ##0\);_(* &quot;-&quot;??_);_(@_)">
                  <c:v>24000</c:v>
                </c:pt>
                <c:pt idx="1">
                  <c:v>6400</c:v>
                </c:pt>
                <c:pt idx="2">
                  <c:v>6400</c:v>
                </c:pt>
                <c:pt idx="3">
                  <c:v>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4-4BC0-908E-9131FD040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7859712"/>
        <c:axId val="1380682016"/>
      </c:barChart>
      <c:catAx>
        <c:axId val="127785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682016"/>
        <c:crosses val="autoZero"/>
        <c:auto val="1"/>
        <c:lblAlgn val="ctr"/>
        <c:lblOffset val="100"/>
        <c:noMultiLvlLbl val="0"/>
      </c:catAx>
      <c:valAx>
        <c:axId val="1380682016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785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Графика!$B$166:$E$166</c:f>
              <c:strCache>
                <c:ptCount val="4"/>
                <c:pt idx="0">
                  <c:v>Картофель</c:v>
                </c:pt>
                <c:pt idx="1">
                  <c:v>Морковь</c:v>
                </c:pt>
                <c:pt idx="2">
                  <c:v>Лук</c:v>
                </c:pt>
                <c:pt idx="3">
                  <c:v>Капуста</c:v>
                </c:pt>
              </c:strCache>
            </c:strRef>
          </c:cat>
          <c:val>
            <c:numRef>
              <c:f>Графика!$B$173:$E$173</c:f>
              <c:numCache>
                <c:formatCode>0%</c:formatCode>
                <c:ptCount val="4"/>
                <c:pt idx="0">
                  <c:v>0.25062774637649515</c:v>
                </c:pt>
                <c:pt idx="1">
                  <c:v>0.23390881641669611</c:v>
                </c:pt>
                <c:pt idx="2">
                  <c:v>0.14341104162804316</c:v>
                </c:pt>
                <c:pt idx="3">
                  <c:v>0.12137991459915554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2-47FE-8DDD-0657B3A12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800640"/>
        <c:axId val="1145050144"/>
      </c:barChart>
      <c:catAx>
        <c:axId val="11018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050144"/>
        <c:crosses val="autoZero"/>
        <c:auto val="1"/>
        <c:lblAlgn val="ctr"/>
        <c:lblOffset val="100"/>
        <c:noMultiLvlLbl val="0"/>
      </c:catAx>
      <c:valAx>
        <c:axId val="11450501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80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'[1]Посевная площадь '!$F$3</c:f>
              <c:strCache>
                <c:ptCount val="1"/>
                <c:pt idx="0">
                  <c:v>Картофель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'[1]Посевная площадь '!$A$4:$A$36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'[1]Посевная площадь '!$F$4:$F$36</c:f>
              <c:numCache>
                <c:formatCode>General</c:formatCode>
                <c:ptCount val="33"/>
                <c:pt idx="0">
                  <c:v>205.9</c:v>
                </c:pt>
                <c:pt idx="1">
                  <c:v>216.8</c:v>
                </c:pt>
                <c:pt idx="2">
                  <c:v>246.9</c:v>
                </c:pt>
                <c:pt idx="3">
                  <c:v>243.9</c:v>
                </c:pt>
                <c:pt idx="4">
                  <c:v>218.3</c:v>
                </c:pt>
                <c:pt idx="5">
                  <c:v>205.9</c:v>
                </c:pt>
                <c:pt idx="6">
                  <c:v>189.4</c:v>
                </c:pt>
                <c:pt idx="7">
                  <c:v>176.3</c:v>
                </c:pt>
                <c:pt idx="8">
                  <c:v>169.9</c:v>
                </c:pt>
                <c:pt idx="9">
                  <c:v>156.30000000000001</c:v>
                </c:pt>
                <c:pt idx="10">
                  <c:v>160.30000000000001</c:v>
                </c:pt>
                <c:pt idx="11">
                  <c:v>164.6</c:v>
                </c:pt>
                <c:pt idx="12">
                  <c:v>163</c:v>
                </c:pt>
                <c:pt idx="13">
                  <c:v>166.9</c:v>
                </c:pt>
                <c:pt idx="14">
                  <c:v>168.2</c:v>
                </c:pt>
                <c:pt idx="15">
                  <c:v>168.2</c:v>
                </c:pt>
                <c:pt idx="16">
                  <c:v>153.9</c:v>
                </c:pt>
                <c:pt idx="17">
                  <c:v>155.5</c:v>
                </c:pt>
                <c:pt idx="18">
                  <c:v>163.69999999999999</c:v>
                </c:pt>
                <c:pt idx="19">
                  <c:v>170.3</c:v>
                </c:pt>
                <c:pt idx="20">
                  <c:v>179.5</c:v>
                </c:pt>
                <c:pt idx="21">
                  <c:v>184.39999999999998</c:v>
                </c:pt>
                <c:pt idx="22">
                  <c:v>190.2</c:v>
                </c:pt>
                <c:pt idx="23">
                  <c:v>184.79999999999998</c:v>
                </c:pt>
                <c:pt idx="24">
                  <c:v>186.8</c:v>
                </c:pt>
                <c:pt idx="25">
                  <c:v>190.6</c:v>
                </c:pt>
                <c:pt idx="26">
                  <c:v>186.7</c:v>
                </c:pt>
                <c:pt idx="27">
                  <c:v>183.4</c:v>
                </c:pt>
                <c:pt idx="28">
                  <c:v>192.96874</c:v>
                </c:pt>
                <c:pt idx="29">
                  <c:v>192.95964000000001</c:v>
                </c:pt>
                <c:pt idx="30">
                  <c:v>194.37639999999999</c:v>
                </c:pt>
                <c:pt idx="31">
                  <c:v>195.7936</c:v>
                </c:pt>
                <c:pt idx="32">
                  <c:v>199.4709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83-421B-A83A-B6B3373041EC}"/>
            </c:ext>
          </c:extLst>
        </c:ser>
        <c:ser>
          <c:idx val="1"/>
          <c:order val="1"/>
          <c:tx>
            <c:strRef>
              <c:f>'[1]Посевная площадь '!$G$3</c:f>
              <c:strCache>
                <c:ptCount val="1"/>
                <c:pt idx="0">
                  <c:v>Овощи открытого грунта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'[1]Посевная площадь '!$A$4:$A$36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'[1]Посевная площадь '!$G$4:$G$36</c:f>
              <c:numCache>
                <c:formatCode>General</c:formatCode>
                <c:ptCount val="33"/>
                <c:pt idx="0">
                  <c:v>70.8</c:v>
                </c:pt>
                <c:pt idx="1">
                  <c:v>75.099999999999994</c:v>
                </c:pt>
                <c:pt idx="2">
                  <c:v>83.3</c:v>
                </c:pt>
                <c:pt idx="3">
                  <c:v>74</c:v>
                </c:pt>
                <c:pt idx="4">
                  <c:v>73.400000000000006</c:v>
                </c:pt>
                <c:pt idx="5">
                  <c:v>76.099999999999994</c:v>
                </c:pt>
                <c:pt idx="6">
                  <c:v>79.8</c:v>
                </c:pt>
                <c:pt idx="7">
                  <c:v>87.1</c:v>
                </c:pt>
                <c:pt idx="8">
                  <c:v>96.5</c:v>
                </c:pt>
                <c:pt idx="9">
                  <c:v>96.1</c:v>
                </c:pt>
                <c:pt idx="10">
                  <c:v>102.6</c:v>
                </c:pt>
                <c:pt idx="11">
                  <c:v>107.7</c:v>
                </c:pt>
                <c:pt idx="12">
                  <c:v>108.7</c:v>
                </c:pt>
                <c:pt idx="13">
                  <c:v>110.2</c:v>
                </c:pt>
                <c:pt idx="14">
                  <c:v>111.3</c:v>
                </c:pt>
                <c:pt idx="15">
                  <c:v>110.8</c:v>
                </c:pt>
                <c:pt idx="16">
                  <c:v>103</c:v>
                </c:pt>
                <c:pt idx="17">
                  <c:v>104.2</c:v>
                </c:pt>
                <c:pt idx="18">
                  <c:v>112.9</c:v>
                </c:pt>
                <c:pt idx="19">
                  <c:v>110.6</c:v>
                </c:pt>
                <c:pt idx="20">
                  <c:v>120.3</c:v>
                </c:pt>
                <c:pt idx="21">
                  <c:v>128.69999999999999</c:v>
                </c:pt>
                <c:pt idx="22">
                  <c:v>128.69999999999999</c:v>
                </c:pt>
                <c:pt idx="23">
                  <c:v>133.1</c:v>
                </c:pt>
                <c:pt idx="24">
                  <c:v>137.69999999999999</c:v>
                </c:pt>
                <c:pt idx="25">
                  <c:v>139.5</c:v>
                </c:pt>
                <c:pt idx="26">
                  <c:v>145.9</c:v>
                </c:pt>
                <c:pt idx="27">
                  <c:v>142.9</c:v>
                </c:pt>
                <c:pt idx="28">
                  <c:v>152.33866</c:v>
                </c:pt>
                <c:pt idx="29">
                  <c:v>159.09547000000001</c:v>
                </c:pt>
                <c:pt idx="30">
                  <c:v>163.57810000000001</c:v>
                </c:pt>
                <c:pt idx="31">
                  <c:v>168.63</c:v>
                </c:pt>
                <c:pt idx="32">
                  <c:v>170.2278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3-421B-A83A-B6B337304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4051840"/>
        <c:axId val="1091168192"/>
      </c:lineChart>
      <c:catAx>
        <c:axId val="110405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168192"/>
        <c:crosses val="autoZero"/>
        <c:auto val="1"/>
        <c:lblAlgn val="ctr"/>
        <c:lblOffset val="100"/>
        <c:noMultiLvlLbl val="0"/>
      </c:catAx>
      <c:valAx>
        <c:axId val="10911681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05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Остаток денежных средств на конец года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ПДДС!$A$22</c:f>
              <c:strCache>
                <c:ptCount val="1"/>
                <c:pt idx="0">
                  <c:v>Остаток денежных средств на конец периода, тенге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4FB-4901-851F-1D4B7B5A1FA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C2B-4092-AA90-1686FD553BF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2B-4092-AA90-1686FD553BF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C2B-4092-AA90-1686FD553BF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2B-4092-AA90-1686FD553BF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C2B-4092-AA90-1686FD553BFD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427-4216-AF3D-2F70A4B06DFD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427-4216-AF3D-2F70A4B06DFD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427-4216-AF3D-2F70A4B06DFD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427-4216-AF3D-2F70A4B06DFD}"/>
              </c:ext>
            </c:extLst>
          </c:dPt>
          <c:cat>
            <c:numRef>
              <c:f>ПДДС!$B$3:$Q$3</c:f>
              <c:numCache>
                <c:formatCode>General</c:formatCode>
                <c:ptCount val="1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</c:numCache>
            </c:numRef>
          </c:cat>
          <c:val>
            <c:numRef>
              <c:f>ПДДС!$B$22:$Q$22</c:f>
              <c:numCache>
                <c:formatCode>[$$-409]#\ ##0</c:formatCode>
                <c:ptCount val="16"/>
                <c:pt idx="0">
                  <c:v>66951012.9414085</c:v>
                </c:pt>
                <c:pt idx="1">
                  <c:v>14550383.87361525</c:v>
                </c:pt>
                <c:pt idx="2">
                  <c:v>49081750.219372042</c:v>
                </c:pt>
                <c:pt idx="3">
                  <c:v>44822116.65656504</c:v>
                </c:pt>
                <c:pt idx="4">
                  <c:v>26996803.873332351</c:v>
                </c:pt>
                <c:pt idx="5">
                  <c:v>10062973.464708023</c:v>
                </c:pt>
                <c:pt idx="6">
                  <c:v>-7766471.3496606648</c:v>
                </c:pt>
                <c:pt idx="7">
                  <c:v>-4826747.6624874212</c:v>
                </c:pt>
                <c:pt idx="8">
                  <c:v>13450817.202623341</c:v>
                </c:pt>
                <c:pt idx="9">
                  <c:v>32702821.353519034</c:v>
                </c:pt>
                <c:pt idx="10">
                  <c:v>52982859.502164394</c:v>
                </c:pt>
                <c:pt idx="11">
                  <c:v>72443229.716110677</c:v>
                </c:pt>
                <c:pt idx="12">
                  <c:v>90889395.735773474</c:v>
                </c:pt>
                <c:pt idx="13">
                  <c:v>110258406.06982626</c:v>
                </c:pt>
                <c:pt idx="14">
                  <c:v>130601017.62501493</c:v>
                </c:pt>
                <c:pt idx="15">
                  <c:v>151970778.91611251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D-4A4E-AC74-8DAC2ACCD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23500944"/>
        <c:axId val="-2123499856"/>
      </c:barChart>
      <c:catAx>
        <c:axId val="-212350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3499856"/>
        <c:crosses val="autoZero"/>
        <c:auto val="1"/>
        <c:lblAlgn val="ctr"/>
        <c:lblOffset val="100"/>
        <c:noMultiLvlLbl val="0"/>
      </c:catAx>
      <c:valAx>
        <c:axId val="-21234998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350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'[2]Валовой сбор'!$E$3</c:f>
              <c:strCache>
                <c:ptCount val="1"/>
                <c:pt idx="0">
                  <c:v>Картофель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'[2]Валовой сбор'!$A$4:$A$36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'[2]Валовой сбор'!$E$4:$E$36</c:f>
              <c:numCache>
                <c:formatCode>General</c:formatCode>
                <c:ptCount val="33"/>
                <c:pt idx="0">
                  <c:v>2324.3000000000002</c:v>
                </c:pt>
                <c:pt idx="1">
                  <c:v>2143.1999999999998</c:v>
                </c:pt>
                <c:pt idx="2">
                  <c:v>2569.6999999999998</c:v>
                </c:pt>
                <c:pt idx="3">
                  <c:v>2296.3000000000002</c:v>
                </c:pt>
                <c:pt idx="4">
                  <c:v>2040.2</c:v>
                </c:pt>
                <c:pt idx="5">
                  <c:v>1719.7</c:v>
                </c:pt>
                <c:pt idx="6">
                  <c:v>1656.5</c:v>
                </c:pt>
                <c:pt idx="7">
                  <c:v>1472.2</c:v>
                </c:pt>
                <c:pt idx="8">
                  <c:v>1262.9000000000001</c:v>
                </c:pt>
                <c:pt idx="9">
                  <c:v>1694.7</c:v>
                </c:pt>
                <c:pt idx="10">
                  <c:v>1692.6</c:v>
                </c:pt>
                <c:pt idx="11">
                  <c:v>2184.8000000000002</c:v>
                </c:pt>
                <c:pt idx="12">
                  <c:v>2268.8000000000002</c:v>
                </c:pt>
                <c:pt idx="13">
                  <c:v>2308.3000000000002</c:v>
                </c:pt>
                <c:pt idx="14">
                  <c:v>2260.6999999999998</c:v>
                </c:pt>
                <c:pt idx="15">
                  <c:v>2520.8000000000002</c:v>
                </c:pt>
                <c:pt idx="16">
                  <c:v>2361.6</c:v>
                </c:pt>
                <c:pt idx="17">
                  <c:v>2414.8000000000002</c:v>
                </c:pt>
                <c:pt idx="18">
                  <c:v>2354.4</c:v>
                </c:pt>
                <c:pt idx="19">
                  <c:v>2755.6</c:v>
                </c:pt>
                <c:pt idx="20">
                  <c:v>2554.6</c:v>
                </c:pt>
                <c:pt idx="21">
                  <c:v>3076.1</c:v>
                </c:pt>
                <c:pt idx="22">
                  <c:v>3126.4</c:v>
                </c:pt>
                <c:pt idx="23">
                  <c:v>3343.6</c:v>
                </c:pt>
                <c:pt idx="24">
                  <c:v>3410.5</c:v>
                </c:pt>
                <c:pt idx="25">
                  <c:v>3521</c:v>
                </c:pt>
                <c:pt idx="26">
                  <c:v>3545.7</c:v>
                </c:pt>
                <c:pt idx="27">
                  <c:v>3551.1</c:v>
                </c:pt>
                <c:pt idx="28">
                  <c:v>3806.9924270000001</c:v>
                </c:pt>
                <c:pt idx="29">
                  <c:v>3912.1027779999999</c:v>
                </c:pt>
                <c:pt idx="30">
                  <c:v>4006.7803899999999</c:v>
                </c:pt>
                <c:pt idx="31">
                  <c:v>4031.5817000000002</c:v>
                </c:pt>
                <c:pt idx="32">
                  <c:v>4080.4727499999999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51-4270-B461-C0209460881F}"/>
            </c:ext>
          </c:extLst>
        </c:ser>
        <c:ser>
          <c:idx val="1"/>
          <c:order val="1"/>
          <c:tx>
            <c:strRef>
              <c:f>'[2]Валовой сбор'!$F$3</c:f>
              <c:strCache>
                <c:ptCount val="1"/>
                <c:pt idx="0">
                  <c:v>Овощи открытого и закрытого грунта грунта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'[2]Валовой сбор'!$A$4:$A$36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'[2]Валовой сбор'!$F$4:$F$36</c:f>
              <c:numCache>
                <c:formatCode>General</c:formatCode>
                <c:ptCount val="33"/>
                <c:pt idx="0">
                  <c:v>1136.4000000000001</c:v>
                </c:pt>
                <c:pt idx="1">
                  <c:v>954.9</c:v>
                </c:pt>
                <c:pt idx="2">
                  <c:v>985.1</c:v>
                </c:pt>
                <c:pt idx="3">
                  <c:v>808</c:v>
                </c:pt>
                <c:pt idx="4">
                  <c:v>781.2</c:v>
                </c:pt>
                <c:pt idx="5">
                  <c:v>779.7</c:v>
                </c:pt>
                <c:pt idx="6">
                  <c:v>778</c:v>
                </c:pt>
                <c:pt idx="7">
                  <c:v>879.7</c:v>
                </c:pt>
                <c:pt idx="8">
                  <c:v>1079.2</c:v>
                </c:pt>
                <c:pt idx="9">
                  <c:v>1287.0999999999999</c:v>
                </c:pt>
                <c:pt idx="10">
                  <c:v>1543.6</c:v>
                </c:pt>
                <c:pt idx="11">
                  <c:v>1782</c:v>
                </c:pt>
                <c:pt idx="12">
                  <c:v>1857</c:v>
                </c:pt>
                <c:pt idx="13">
                  <c:v>1938.3</c:v>
                </c:pt>
                <c:pt idx="14">
                  <c:v>2059.3000000000002</c:v>
                </c:pt>
                <c:pt idx="15">
                  <c:v>2168.6999999999998</c:v>
                </c:pt>
                <c:pt idx="16">
                  <c:v>2059.1999999999998</c:v>
                </c:pt>
                <c:pt idx="17">
                  <c:v>2196.4</c:v>
                </c:pt>
                <c:pt idx="18">
                  <c:v>2280</c:v>
                </c:pt>
                <c:pt idx="19">
                  <c:v>2457.1999999999998</c:v>
                </c:pt>
                <c:pt idx="20">
                  <c:v>2576.9</c:v>
                </c:pt>
                <c:pt idx="21">
                  <c:v>2877.6999999999994</c:v>
                </c:pt>
                <c:pt idx="22">
                  <c:v>3061.5</c:v>
                </c:pt>
                <c:pt idx="23">
                  <c:v>3241.5000000000005</c:v>
                </c:pt>
                <c:pt idx="24">
                  <c:v>3469.9</c:v>
                </c:pt>
                <c:pt idx="25">
                  <c:v>3564.9</c:v>
                </c:pt>
                <c:pt idx="26">
                  <c:v>3795.2</c:v>
                </c:pt>
                <c:pt idx="27">
                  <c:v>3791.1</c:v>
                </c:pt>
                <c:pt idx="28">
                  <c:v>4081.9492240000004</c:v>
                </c:pt>
                <c:pt idx="29">
                  <c:v>4355.2346670000006</c:v>
                </c:pt>
                <c:pt idx="30">
                  <c:v>4590.9231</c:v>
                </c:pt>
                <c:pt idx="31">
                  <c:v>4768.5140200000005</c:v>
                </c:pt>
                <c:pt idx="32">
                  <c:v>4792.6249200000002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1-4270-B461-C02094608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656544"/>
        <c:axId val="1284216128"/>
      </c:lineChart>
      <c:catAx>
        <c:axId val="105465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216128"/>
        <c:crosses val="autoZero"/>
        <c:auto val="1"/>
        <c:lblAlgn val="ctr"/>
        <c:lblOffset val="100"/>
        <c:noMultiLvlLbl val="0"/>
      </c:catAx>
      <c:valAx>
        <c:axId val="12842161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6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[3]Урожайность!$E$3</c:f>
              <c:strCache>
                <c:ptCount val="1"/>
                <c:pt idx="0">
                  <c:v>Картофель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[3]Урожайность!$A$4:$A$36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[3]Урожайность!$E$4:$E$36</c:f>
              <c:numCache>
                <c:formatCode>General</c:formatCode>
                <c:ptCount val="33"/>
                <c:pt idx="0">
                  <c:v>113</c:v>
                </c:pt>
                <c:pt idx="1">
                  <c:v>99</c:v>
                </c:pt>
                <c:pt idx="2">
                  <c:v>104</c:v>
                </c:pt>
                <c:pt idx="3">
                  <c:v>94</c:v>
                </c:pt>
                <c:pt idx="4">
                  <c:v>94</c:v>
                </c:pt>
                <c:pt idx="5">
                  <c:v>84</c:v>
                </c:pt>
                <c:pt idx="6">
                  <c:v>88</c:v>
                </c:pt>
                <c:pt idx="7">
                  <c:v>84</c:v>
                </c:pt>
                <c:pt idx="8">
                  <c:v>77</c:v>
                </c:pt>
                <c:pt idx="9">
                  <c:v>108</c:v>
                </c:pt>
                <c:pt idx="10">
                  <c:v>106</c:v>
                </c:pt>
                <c:pt idx="11">
                  <c:v>133</c:v>
                </c:pt>
                <c:pt idx="12">
                  <c:v>139</c:v>
                </c:pt>
                <c:pt idx="13">
                  <c:v>139</c:v>
                </c:pt>
                <c:pt idx="14">
                  <c:v>134</c:v>
                </c:pt>
                <c:pt idx="15">
                  <c:v>150</c:v>
                </c:pt>
                <c:pt idx="16">
                  <c:v>153.6</c:v>
                </c:pt>
                <c:pt idx="17">
                  <c:v>155.80000000000001</c:v>
                </c:pt>
                <c:pt idx="18">
                  <c:v>143.69999999999999</c:v>
                </c:pt>
                <c:pt idx="19">
                  <c:v>160</c:v>
                </c:pt>
                <c:pt idx="20">
                  <c:v>143</c:v>
                </c:pt>
                <c:pt idx="21">
                  <c:v>167.2</c:v>
                </c:pt>
                <c:pt idx="22">
                  <c:v>165.9</c:v>
                </c:pt>
                <c:pt idx="23">
                  <c:v>181.5</c:v>
                </c:pt>
                <c:pt idx="24">
                  <c:v>184.3</c:v>
                </c:pt>
                <c:pt idx="25">
                  <c:v>185.5</c:v>
                </c:pt>
                <c:pt idx="26">
                  <c:v>190.4</c:v>
                </c:pt>
                <c:pt idx="27">
                  <c:v>194.2</c:v>
                </c:pt>
                <c:pt idx="28">
                  <c:v>197.9451</c:v>
                </c:pt>
                <c:pt idx="29">
                  <c:v>203.40809999999999</c:v>
                </c:pt>
                <c:pt idx="30">
                  <c:v>206.7</c:v>
                </c:pt>
                <c:pt idx="31">
                  <c:v>207.4</c:v>
                </c:pt>
                <c:pt idx="32">
                  <c:v>205.4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67-45CE-9118-398512CF1FD8}"/>
            </c:ext>
          </c:extLst>
        </c:ser>
        <c:ser>
          <c:idx val="1"/>
          <c:order val="1"/>
          <c:tx>
            <c:strRef>
              <c:f>[3]Урожайность!$F$3</c:f>
              <c:strCache>
                <c:ptCount val="1"/>
                <c:pt idx="0">
                  <c:v>Овощи открытого грунта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[3]Урожайность!$A$4:$A$36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[3]Урожайность!$F$4:$F$36</c:f>
              <c:numCache>
                <c:formatCode>General</c:formatCode>
                <c:ptCount val="33"/>
                <c:pt idx="0">
                  <c:v>154</c:v>
                </c:pt>
                <c:pt idx="1">
                  <c:v>121</c:v>
                </c:pt>
                <c:pt idx="2">
                  <c:v>114</c:v>
                </c:pt>
                <c:pt idx="3">
                  <c:v>106</c:v>
                </c:pt>
                <c:pt idx="4">
                  <c:v>104</c:v>
                </c:pt>
                <c:pt idx="5">
                  <c:v>101</c:v>
                </c:pt>
                <c:pt idx="6">
                  <c:v>96</c:v>
                </c:pt>
                <c:pt idx="7">
                  <c:v>101</c:v>
                </c:pt>
                <c:pt idx="8">
                  <c:v>114</c:v>
                </c:pt>
                <c:pt idx="9">
                  <c:v>134</c:v>
                </c:pt>
                <c:pt idx="10">
                  <c:v>153</c:v>
                </c:pt>
                <c:pt idx="11">
                  <c:v>166</c:v>
                </c:pt>
                <c:pt idx="12">
                  <c:v>172</c:v>
                </c:pt>
                <c:pt idx="13">
                  <c:v>177</c:v>
                </c:pt>
                <c:pt idx="14">
                  <c:v>186</c:v>
                </c:pt>
                <c:pt idx="15">
                  <c:v>196</c:v>
                </c:pt>
                <c:pt idx="16">
                  <c:v>201</c:v>
                </c:pt>
                <c:pt idx="17">
                  <c:v>211</c:v>
                </c:pt>
                <c:pt idx="18">
                  <c:v>204</c:v>
                </c:pt>
                <c:pt idx="19">
                  <c:v>218.7</c:v>
                </c:pt>
                <c:pt idx="20">
                  <c:v>214.4</c:v>
                </c:pt>
                <c:pt idx="21">
                  <c:v>222.9</c:v>
                </c:pt>
                <c:pt idx="22">
                  <c:v>234</c:v>
                </c:pt>
                <c:pt idx="23">
                  <c:v>238.7</c:v>
                </c:pt>
                <c:pt idx="24">
                  <c:v>243</c:v>
                </c:pt>
                <c:pt idx="25">
                  <c:v>245.8</c:v>
                </c:pt>
                <c:pt idx="26">
                  <c:v>250</c:v>
                </c:pt>
                <c:pt idx="27">
                  <c:v>253.7</c:v>
                </c:pt>
                <c:pt idx="28">
                  <c:v>257.3245</c:v>
                </c:pt>
                <c:pt idx="29">
                  <c:v>260.54689999999999</c:v>
                </c:pt>
                <c:pt idx="30">
                  <c:v>265.89999999999998</c:v>
                </c:pt>
                <c:pt idx="31">
                  <c:v>268</c:v>
                </c:pt>
                <c:pt idx="32">
                  <c:v>271.3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7-45CE-9118-398512CF1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551920"/>
        <c:axId val="1282731472"/>
      </c:lineChart>
      <c:catAx>
        <c:axId val="98255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2731472"/>
        <c:crosses val="autoZero"/>
        <c:auto val="1"/>
        <c:lblAlgn val="ctr"/>
        <c:lblOffset val="100"/>
        <c:noMultiLvlLbl val="0"/>
      </c:catAx>
      <c:valAx>
        <c:axId val="12827314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55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погашения</a:t>
            </a:r>
            <a:r>
              <a:rPr lang="ru-RU" baseline="0"/>
              <a:t> кредита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Кредит!$A$22</c:f>
              <c:strCache>
                <c:ptCount val="1"/>
                <c:pt idx="0">
                  <c:v>Остаток основного долга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Кредит!$B$21:$L$21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Кредит!$B$22:$L$22</c:f>
              <c:numCache>
                <c:formatCode>[$$-409]#\ ##0</c:formatCode>
                <c:ptCount val="11"/>
                <c:pt idx="0">
                  <c:v>0</c:v>
                </c:pt>
                <c:pt idx="1">
                  <c:v>103575108.43441387</c:v>
                </c:pt>
                <c:pt idx="2">
                  <c:v>103575108.43441387</c:v>
                </c:pt>
                <c:pt idx="3">
                  <c:v>103575108.43441387</c:v>
                </c:pt>
                <c:pt idx="4">
                  <c:v>88470405.121061847</c:v>
                </c:pt>
                <c:pt idx="5">
                  <c:v>62576628.012458384</c:v>
                </c:pt>
                <c:pt idx="6">
                  <c:v>36682850.903854921</c:v>
                </c:pt>
                <c:pt idx="7">
                  <c:v>10789073.795251463</c:v>
                </c:pt>
                <c:pt idx="8">
                  <c:v>1.862645149230957E-8</c:v>
                </c:pt>
                <c:pt idx="9">
                  <c:v>1.862645149230957E-8</c:v>
                </c:pt>
                <c:pt idx="10">
                  <c:v>1.862645149230957E-8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E-45B9-98F3-06047342E9AE}"/>
            </c:ext>
          </c:extLst>
        </c:ser>
        <c:ser>
          <c:idx val="2"/>
          <c:order val="1"/>
          <c:tx>
            <c:strRef>
              <c:f>Кредит!$A$24</c:f>
              <c:strCache>
                <c:ptCount val="1"/>
                <c:pt idx="0">
                  <c:v>Выплата ОД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Кредит!$B$21:$L$21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Кредит!$B$24:$L$24</c:f>
              <c:numCache>
                <c:formatCode>[$$-409]#\ 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15104703.313352022</c:v>
                </c:pt>
                <c:pt idx="4">
                  <c:v>25893777.108603459</c:v>
                </c:pt>
                <c:pt idx="5">
                  <c:v>25893777.108603459</c:v>
                </c:pt>
                <c:pt idx="6">
                  <c:v>25893777.108603459</c:v>
                </c:pt>
                <c:pt idx="7">
                  <c:v>10789073.795251444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8-4035-B6B6-477840F1A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7140223"/>
        <c:axId val="1527141663"/>
      </c:barChart>
      <c:catAx>
        <c:axId val="152714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141663"/>
        <c:crosses val="autoZero"/>
        <c:auto val="1"/>
        <c:lblAlgn val="ctr"/>
        <c:lblOffset val="100"/>
        <c:noMultiLvlLbl val="0"/>
      </c:catAx>
      <c:valAx>
        <c:axId val="152714166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[$$-409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140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Загруженность овощехранилища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Операции!$B$2:$FO$2</c:f>
              <c:numCache>
                <c:formatCode>mmm\-yy</c:formatCode>
                <c:ptCount val="156"/>
                <c:pt idx="0">
                  <c:v>46023</c:v>
                </c:pt>
                <c:pt idx="1">
                  <c:v>46054</c:v>
                </c:pt>
                <c:pt idx="2">
                  <c:v>46082</c:v>
                </c:pt>
                <c:pt idx="3">
                  <c:v>46113</c:v>
                </c:pt>
                <c:pt idx="4">
                  <c:v>46143</c:v>
                </c:pt>
                <c:pt idx="5">
                  <c:v>46174</c:v>
                </c:pt>
                <c:pt idx="6">
                  <c:v>46204</c:v>
                </c:pt>
                <c:pt idx="7">
                  <c:v>46235</c:v>
                </c:pt>
                <c:pt idx="8">
                  <c:v>46266</c:v>
                </c:pt>
                <c:pt idx="9">
                  <c:v>46296</c:v>
                </c:pt>
                <c:pt idx="10">
                  <c:v>46327</c:v>
                </c:pt>
                <c:pt idx="11">
                  <c:v>46357</c:v>
                </c:pt>
                <c:pt idx="12">
                  <c:v>46388</c:v>
                </c:pt>
                <c:pt idx="13">
                  <c:v>46419</c:v>
                </c:pt>
                <c:pt idx="14">
                  <c:v>46447</c:v>
                </c:pt>
                <c:pt idx="15">
                  <c:v>46478</c:v>
                </c:pt>
                <c:pt idx="16">
                  <c:v>46508</c:v>
                </c:pt>
                <c:pt idx="17">
                  <c:v>46539</c:v>
                </c:pt>
                <c:pt idx="18">
                  <c:v>46569</c:v>
                </c:pt>
                <c:pt idx="19">
                  <c:v>46600</c:v>
                </c:pt>
                <c:pt idx="20">
                  <c:v>46631</c:v>
                </c:pt>
                <c:pt idx="21">
                  <c:v>46661</c:v>
                </c:pt>
                <c:pt idx="22">
                  <c:v>46692</c:v>
                </c:pt>
                <c:pt idx="23">
                  <c:v>46722</c:v>
                </c:pt>
                <c:pt idx="24">
                  <c:v>46753</c:v>
                </c:pt>
                <c:pt idx="25">
                  <c:v>46784</c:v>
                </c:pt>
                <c:pt idx="26">
                  <c:v>46813</c:v>
                </c:pt>
                <c:pt idx="27">
                  <c:v>46844</c:v>
                </c:pt>
                <c:pt idx="28">
                  <c:v>46874</c:v>
                </c:pt>
                <c:pt idx="29">
                  <c:v>46905</c:v>
                </c:pt>
                <c:pt idx="30">
                  <c:v>46935</c:v>
                </c:pt>
                <c:pt idx="31">
                  <c:v>46966</c:v>
                </c:pt>
                <c:pt idx="32">
                  <c:v>46997</c:v>
                </c:pt>
                <c:pt idx="33">
                  <c:v>47027</c:v>
                </c:pt>
                <c:pt idx="34">
                  <c:v>47058</c:v>
                </c:pt>
                <c:pt idx="35">
                  <c:v>47088</c:v>
                </c:pt>
                <c:pt idx="36">
                  <c:v>47119</c:v>
                </c:pt>
                <c:pt idx="37">
                  <c:v>47150</c:v>
                </c:pt>
                <c:pt idx="38">
                  <c:v>47178</c:v>
                </c:pt>
                <c:pt idx="39">
                  <c:v>47209</c:v>
                </c:pt>
                <c:pt idx="40">
                  <c:v>47239</c:v>
                </c:pt>
                <c:pt idx="41">
                  <c:v>47270</c:v>
                </c:pt>
                <c:pt idx="42">
                  <c:v>47300</c:v>
                </c:pt>
                <c:pt idx="43">
                  <c:v>47331</c:v>
                </c:pt>
                <c:pt idx="44">
                  <c:v>47362</c:v>
                </c:pt>
                <c:pt idx="45">
                  <c:v>47392</c:v>
                </c:pt>
                <c:pt idx="46">
                  <c:v>47423</c:v>
                </c:pt>
                <c:pt idx="47">
                  <c:v>47453</c:v>
                </c:pt>
                <c:pt idx="48">
                  <c:v>47484</c:v>
                </c:pt>
                <c:pt idx="49">
                  <c:v>47515</c:v>
                </c:pt>
                <c:pt idx="50">
                  <c:v>47543</c:v>
                </c:pt>
                <c:pt idx="51">
                  <c:v>47574</c:v>
                </c:pt>
                <c:pt idx="52">
                  <c:v>47604</c:v>
                </c:pt>
                <c:pt idx="53">
                  <c:v>47635</c:v>
                </c:pt>
                <c:pt idx="54">
                  <c:v>47665</c:v>
                </c:pt>
                <c:pt idx="55">
                  <c:v>47696</c:v>
                </c:pt>
                <c:pt idx="56">
                  <c:v>47727</c:v>
                </c:pt>
                <c:pt idx="57">
                  <c:v>47757</c:v>
                </c:pt>
                <c:pt idx="58">
                  <c:v>47788</c:v>
                </c:pt>
                <c:pt idx="59">
                  <c:v>47818</c:v>
                </c:pt>
                <c:pt idx="60">
                  <c:v>47849</c:v>
                </c:pt>
                <c:pt idx="61">
                  <c:v>47880</c:v>
                </c:pt>
                <c:pt idx="62">
                  <c:v>47908</c:v>
                </c:pt>
                <c:pt idx="63">
                  <c:v>47939</c:v>
                </c:pt>
                <c:pt idx="64">
                  <c:v>47969</c:v>
                </c:pt>
                <c:pt idx="65">
                  <c:v>48000</c:v>
                </c:pt>
                <c:pt idx="66">
                  <c:v>48030</c:v>
                </c:pt>
                <c:pt idx="67">
                  <c:v>48061</c:v>
                </c:pt>
                <c:pt idx="68">
                  <c:v>48092</c:v>
                </c:pt>
                <c:pt idx="69">
                  <c:v>48122</c:v>
                </c:pt>
                <c:pt idx="70">
                  <c:v>48153</c:v>
                </c:pt>
                <c:pt idx="71">
                  <c:v>48183</c:v>
                </c:pt>
                <c:pt idx="72">
                  <c:v>48214</c:v>
                </c:pt>
                <c:pt idx="73">
                  <c:v>48245</c:v>
                </c:pt>
                <c:pt idx="74">
                  <c:v>48274</c:v>
                </c:pt>
                <c:pt idx="75">
                  <c:v>48305</c:v>
                </c:pt>
                <c:pt idx="76">
                  <c:v>48335</c:v>
                </c:pt>
                <c:pt idx="77">
                  <c:v>48366</c:v>
                </c:pt>
                <c:pt idx="78">
                  <c:v>48396</c:v>
                </c:pt>
                <c:pt idx="79">
                  <c:v>48427</c:v>
                </c:pt>
                <c:pt idx="80">
                  <c:v>48458</c:v>
                </c:pt>
                <c:pt idx="81">
                  <c:v>48488</c:v>
                </c:pt>
                <c:pt idx="82">
                  <c:v>48519</c:v>
                </c:pt>
                <c:pt idx="83">
                  <c:v>48549</c:v>
                </c:pt>
                <c:pt idx="84">
                  <c:v>48580</c:v>
                </c:pt>
                <c:pt idx="85">
                  <c:v>48611</c:v>
                </c:pt>
                <c:pt idx="86">
                  <c:v>48639</c:v>
                </c:pt>
                <c:pt idx="87">
                  <c:v>48670</c:v>
                </c:pt>
                <c:pt idx="88">
                  <c:v>48700</c:v>
                </c:pt>
                <c:pt idx="89">
                  <c:v>48731</c:v>
                </c:pt>
                <c:pt idx="90">
                  <c:v>48761</c:v>
                </c:pt>
                <c:pt idx="91">
                  <c:v>48792</c:v>
                </c:pt>
                <c:pt idx="92">
                  <c:v>48823</c:v>
                </c:pt>
                <c:pt idx="93">
                  <c:v>48853</c:v>
                </c:pt>
                <c:pt idx="94">
                  <c:v>48884</c:v>
                </c:pt>
                <c:pt idx="95">
                  <c:v>48914</c:v>
                </c:pt>
                <c:pt idx="96">
                  <c:v>48945</c:v>
                </c:pt>
                <c:pt idx="97">
                  <c:v>48976</c:v>
                </c:pt>
                <c:pt idx="98">
                  <c:v>49004</c:v>
                </c:pt>
                <c:pt idx="99">
                  <c:v>49035</c:v>
                </c:pt>
                <c:pt idx="100">
                  <c:v>49065</c:v>
                </c:pt>
                <c:pt idx="101">
                  <c:v>49096</c:v>
                </c:pt>
                <c:pt idx="102">
                  <c:v>49126</c:v>
                </c:pt>
                <c:pt idx="103">
                  <c:v>49157</c:v>
                </c:pt>
                <c:pt idx="104">
                  <c:v>49188</c:v>
                </c:pt>
                <c:pt idx="105">
                  <c:v>49218</c:v>
                </c:pt>
                <c:pt idx="106">
                  <c:v>49249</c:v>
                </c:pt>
                <c:pt idx="107">
                  <c:v>49279</c:v>
                </c:pt>
                <c:pt idx="108">
                  <c:v>49310</c:v>
                </c:pt>
                <c:pt idx="109">
                  <c:v>49341</c:v>
                </c:pt>
                <c:pt idx="110">
                  <c:v>49369</c:v>
                </c:pt>
                <c:pt idx="111">
                  <c:v>49400</c:v>
                </c:pt>
                <c:pt idx="112">
                  <c:v>49430</c:v>
                </c:pt>
                <c:pt idx="113">
                  <c:v>49461</c:v>
                </c:pt>
                <c:pt idx="114">
                  <c:v>49491</c:v>
                </c:pt>
                <c:pt idx="115">
                  <c:v>49522</c:v>
                </c:pt>
                <c:pt idx="116">
                  <c:v>49553</c:v>
                </c:pt>
                <c:pt idx="117">
                  <c:v>49583</c:v>
                </c:pt>
                <c:pt idx="118">
                  <c:v>49614</c:v>
                </c:pt>
                <c:pt idx="119">
                  <c:v>49644</c:v>
                </c:pt>
                <c:pt idx="120">
                  <c:v>49675</c:v>
                </c:pt>
                <c:pt idx="121">
                  <c:v>49706</c:v>
                </c:pt>
                <c:pt idx="122">
                  <c:v>49735</c:v>
                </c:pt>
                <c:pt idx="123">
                  <c:v>49766</c:v>
                </c:pt>
                <c:pt idx="124">
                  <c:v>49796</c:v>
                </c:pt>
                <c:pt idx="125">
                  <c:v>49827</c:v>
                </c:pt>
                <c:pt idx="126">
                  <c:v>49857</c:v>
                </c:pt>
                <c:pt idx="127">
                  <c:v>49888</c:v>
                </c:pt>
                <c:pt idx="128">
                  <c:v>49919</c:v>
                </c:pt>
                <c:pt idx="129">
                  <c:v>49949</c:v>
                </c:pt>
                <c:pt idx="130">
                  <c:v>49980</c:v>
                </c:pt>
                <c:pt idx="131">
                  <c:v>50010</c:v>
                </c:pt>
                <c:pt idx="132">
                  <c:v>50041</c:v>
                </c:pt>
                <c:pt idx="133">
                  <c:v>50072</c:v>
                </c:pt>
                <c:pt idx="134">
                  <c:v>50100</c:v>
                </c:pt>
                <c:pt idx="135">
                  <c:v>50131</c:v>
                </c:pt>
                <c:pt idx="136">
                  <c:v>50161</c:v>
                </c:pt>
                <c:pt idx="137">
                  <c:v>50192</c:v>
                </c:pt>
                <c:pt idx="138">
                  <c:v>50222</c:v>
                </c:pt>
                <c:pt idx="139">
                  <c:v>50253</c:v>
                </c:pt>
                <c:pt idx="140">
                  <c:v>50284</c:v>
                </c:pt>
                <c:pt idx="141">
                  <c:v>50314</c:v>
                </c:pt>
                <c:pt idx="142">
                  <c:v>50345</c:v>
                </c:pt>
                <c:pt idx="143">
                  <c:v>50375</c:v>
                </c:pt>
                <c:pt idx="144">
                  <c:v>50406</c:v>
                </c:pt>
                <c:pt idx="145">
                  <c:v>50437</c:v>
                </c:pt>
                <c:pt idx="146">
                  <c:v>50465</c:v>
                </c:pt>
                <c:pt idx="147">
                  <c:v>50496</c:v>
                </c:pt>
                <c:pt idx="148">
                  <c:v>50526</c:v>
                </c:pt>
                <c:pt idx="149">
                  <c:v>50557</c:v>
                </c:pt>
                <c:pt idx="150">
                  <c:v>50587</c:v>
                </c:pt>
                <c:pt idx="151">
                  <c:v>50618</c:v>
                </c:pt>
                <c:pt idx="152">
                  <c:v>50649</c:v>
                </c:pt>
                <c:pt idx="153">
                  <c:v>50679</c:v>
                </c:pt>
                <c:pt idx="154">
                  <c:v>50710</c:v>
                </c:pt>
                <c:pt idx="155">
                  <c:v>50740</c:v>
                </c:pt>
              </c:numCache>
            </c:numRef>
          </c:cat>
          <c:val>
            <c:numRef>
              <c:f>Операции!$B$8:$FO$8</c:f>
              <c:numCache>
                <c:formatCode>0%</c:formatCode>
                <c:ptCount val="156"/>
                <c:pt idx="0">
                  <c:v>0.65333333333333343</c:v>
                </c:pt>
                <c:pt idx="1">
                  <c:v>0.49</c:v>
                </c:pt>
                <c:pt idx="2">
                  <c:v>0.32666666666666672</c:v>
                </c:pt>
                <c:pt idx="3">
                  <c:v>0.16333333333333336</c:v>
                </c:pt>
                <c:pt idx="4">
                  <c:v>0</c:v>
                </c:pt>
                <c:pt idx="5">
                  <c:v>0.16333333333333336</c:v>
                </c:pt>
                <c:pt idx="6">
                  <c:v>0.32666666666666666</c:v>
                </c:pt>
                <c:pt idx="7">
                  <c:v>0.49</c:v>
                </c:pt>
                <c:pt idx="8">
                  <c:v>0.65333333333333332</c:v>
                </c:pt>
                <c:pt idx="9">
                  <c:v>0.81666666666666665</c:v>
                </c:pt>
                <c:pt idx="10">
                  <c:v>0.98</c:v>
                </c:pt>
                <c:pt idx="11">
                  <c:v>0.81666666666666676</c:v>
                </c:pt>
                <c:pt idx="12">
                  <c:v>0.65333333333333343</c:v>
                </c:pt>
                <c:pt idx="13">
                  <c:v>0.49</c:v>
                </c:pt>
                <c:pt idx="14">
                  <c:v>0.32666666666666672</c:v>
                </c:pt>
                <c:pt idx="15">
                  <c:v>0.16333333333333336</c:v>
                </c:pt>
                <c:pt idx="16">
                  <c:v>0</c:v>
                </c:pt>
                <c:pt idx="17">
                  <c:v>0.16333333333333336</c:v>
                </c:pt>
                <c:pt idx="18">
                  <c:v>0.32666666666666666</c:v>
                </c:pt>
                <c:pt idx="19">
                  <c:v>0.49</c:v>
                </c:pt>
                <c:pt idx="20">
                  <c:v>0.65333333333333332</c:v>
                </c:pt>
                <c:pt idx="21">
                  <c:v>0.81666666666666665</c:v>
                </c:pt>
                <c:pt idx="22">
                  <c:v>0.98</c:v>
                </c:pt>
                <c:pt idx="23">
                  <c:v>0.81666666666666676</c:v>
                </c:pt>
                <c:pt idx="24">
                  <c:v>0.65333333333333343</c:v>
                </c:pt>
                <c:pt idx="25">
                  <c:v>0.49</c:v>
                </c:pt>
                <c:pt idx="26">
                  <c:v>0.32666666666666672</c:v>
                </c:pt>
                <c:pt idx="27">
                  <c:v>0.16333333333333336</c:v>
                </c:pt>
                <c:pt idx="28">
                  <c:v>0</c:v>
                </c:pt>
                <c:pt idx="29">
                  <c:v>0.16333333333333336</c:v>
                </c:pt>
                <c:pt idx="30">
                  <c:v>0.32666666666666666</c:v>
                </c:pt>
                <c:pt idx="31">
                  <c:v>0.49</c:v>
                </c:pt>
                <c:pt idx="32">
                  <c:v>0.65333333333333332</c:v>
                </c:pt>
                <c:pt idx="33">
                  <c:v>0.81666666666666665</c:v>
                </c:pt>
                <c:pt idx="34">
                  <c:v>0.98</c:v>
                </c:pt>
                <c:pt idx="35">
                  <c:v>0.81666666666666676</c:v>
                </c:pt>
                <c:pt idx="36">
                  <c:v>0.65333333333333343</c:v>
                </c:pt>
                <c:pt idx="37">
                  <c:v>0.49</c:v>
                </c:pt>
                <c:pt idx="38">
                  <c:v>0.32666666666666672</c:v>
                </c:pt>
                <c:pt idx="39">
                  <c:v>0.16333333333333336</c:v>
                </c:pt>
                <c:pt idx="40">
                  <c:v>0</c:v>
                </c:pt>
                <c:pt idx="41">
                  <c:v>0.16333333333333336</c:v>
                </c:pt>
                <c:pt idx="42">
                  <c:v>0.32666666666666666</c:v>
                </c:pt>
                <c:pt idx="43">
                  <c:v>0.49</c:v>
                </c:pt>
                <c:pt idx="44">
                  <c:v>0.65333333333333332</c:v>
                </c:pt>
                <c:pt idx="45">
                  <c:v>0.81666666666666665</c:v>
                </c:pt>
                <c:pt idx="46">
                  <c:v>0.98</c:v>
                </c:pt>
                <c:pt idx="47">
                  <c:v>0.81666666666666676</c:v>
                </c:pt>
                <c:pt idx="48">
                  <c:v>0.65333333333333343</c:v>
                </c:pt>
                <c:pt idx="49">
                  <c:v>0.49</c:v>
                </c:pt>
                <c:pt idx="50">
                  <c:v>0.32666666666666672</c:v>
                </c:pt>
                <c:pt idx="51">
                  <c:v>0.16333333333333336</c:v>
                </c:pt>
                <c:pt idx="52">
                  <c:v>0</c:v>
                </c:pt>
                <c:pt idx="53">
                  <c:v>0.16333333333333336</c:v>
                </c:pt>
                <c:pt idx="54">
                  <c:v>0.32666666666666666</c:v>
                </c:pt>
                <c:pt idx="55">
                  <c:v>0.49</c:v>
                </c:pt>
                <c:pt idx="56">
                  <c:v>0.65333333333333332</c:v>
                </c:pt>
                <c:pt idx="57">
                  <c:v>0.81666666666666665</c:v>
                </c:pt>
                <c:pt idx="58">
                  <c:v>0.98</c:v>
                </c:pt>
                <c:pt idx="59">
                  <c:v>0.81666666666666676</c:v>
                </c:pt>
                <c:pt idx="60">
                  <c:v>0.65333333333333343</c:v>
                </c:pt>
                <c:pt idx="61">
                  <c:v>0.49</c:v>
                </c:pt>
                <c:pt idx="62">
                  <c:v>0.32666666666666672</c:v>
                </c:pt>
                <c:pt idx="63">
                  <c:v>0.16333333333333336</c:v>
                </c:pt>
                <c:pt idx="64">
                  <c:v>0</c:v>
                </c:pt>
                <c:pt idx="65">
                  <c:v>0.16333333333333336</c:v>
                </c:pt>
                <c:pt idx="66">
                  <c:v>0.32666666666666666</c:v>
                </c:pt>
                <c:pt idx="67">
                  <c:v>0.49</c:v>
                </c:pt>
                <c:pt idx="68">
                  <c:v>0.65333333333333332</c:v>
                </c:pt>
                <c:pt idx="69">
                  <c:v>0.81666666666666665</c:v>
                </c:pt>
                <c:pt idx="70">
                  <c:v>0.98</c:v>
                </c:pt>
                <c:pt idx="71">
                  <c:v>0.81666666666666676</c:v>
                </c:pt>
                <c:pt idx="72">
                  <c:v>0.65333333333333343</c:v>
                </c:pt>
                <c:pt idx="73">
                  <c:v>0.49</c:v>
                </c:pt>
                <c:pt idx="74">
                  <c:v>0.32666666666666672</c:v>
                </c:pt>
                <c:pt idx="75">
                  <c:v>0.16333333333333336</c:v>
                </c:pt>
                <c:pt idx="76">
                  <c:v>0</c:v>
                </c:pt>
                <c:pt idx="77">
                  <c:v>0.16333333333333336</c:v>
                </c:pt>
                <c:pt idx="78">
                  <c:v>0.32666666666666666</c:v>
                </c:pt>
                <c:pt idx="79">
                  <c:v>0.49</c:v>
                </c:pt>
                <c:pt idx="80">
                  <c:v>0.65333333333333332</c:v>
                </c:pt>
                <c:pt idx="81">
                  <c:v>0.81666666666666665</c:v>
                </c:pt>
                <c:pt idx="82">
                  <c:v>0.98</c:v>
                </c:pt>
                <c:pt idx="83">
                  <c:v>0.81666666666666676</c:v>
                </c:pt>
                <c:pt idx="84">
                  <c:v>0.65333333333333343</c:v>
                </c:pt>
                <c:pt idx="85">
                  <c:v>0.49</c:v>
                </c:pt>
                <c:pt idx="86">
                  <c:v>0.32666666666666672</c:v>
                </c:pt>
                <c:pt idx="87">
                  <c:v>0.16333333333333336</c:v>
                </c:pt>
                <c:pt idx="88">
                  <c:v>0</c:v>
                </c:pt>
                <c:pt idx="89">
                  <c:v>0.16333333333333336</c:v>
                </c:pt>
                <c:pt idx="90">
                  <c:v>0.32666666666666666</c:v>
                </c:pt>
                <c:pt idx="91">
                  <c:v>0.49</c:v>
                </c:pt>
                <c:pt idx="92">
                  <c:v>0.65333333333333332</c:v>
                </c:pt>
                <c:pt idx="93">
                  <c:v>0.81666666666666665</c:v>
                </c:pt>
                <c:pt idx="94">
                  <c:v>0.98</c:v>
                </c:pt>
                <c:pt idx="95">
                  <c:v>0.81666666666666676</c:v>
                </c:pt>
                <c:pt idx="96">
                  <c:v>0.65333333333333343</c:v>
                </c:pt>
                <c:pt idx="97">
                  <c:v>0.49</c:v>
                </c:pt>
                <c:pt idx="98">
                  <c:v>0.32666666666666672</c:v>
                </c:pt>
                <c:pt idx="99">
                  <c:v>0.16333333333333336</c:v>
                </c:pt>
                <c:pt idx="100">
                  <c:v>0</c:v>
                </c:pt>
                <c:pt idx="101">
                  <c:v>0.16333333333333336</c:v>
                </c:pt>
                <c:pt idx="102">
                  <c:v>0.32666666666666666</c:v>
                </c:pt>
                <c:pt idx="103">
                  <c:v>0.49</c:v>
                </c:pt>
                <c:pt idx="104">
                  <c:v>0.65333333333333332</c:v>
                </c:pt>
                <c:pt idx="105">
                  <c:v>0.81666666666666665</c:v>
                </c:pt>
                <c:pt idx="106">
                  <c:v>0.98</c:v>
                </c:pt>
                <c:pt idx="107">
                  <c:v>0.81666666666666676</c:v>
                </c:pt>
                <c:pt idx="108">
                  <c:v>0.65333333333333343</c:v>
                </c:pt>
                <c:pt idx="109">
                  <c:v>0.49</c:v>
                </c:pt>
                <c:pt idx="110">
                  <c:v>0.32666666666666672</c:v>
                </c:pt>
                <c:pt idx="111">
                  <c:v>0.16333333333333336</c:v>
                </c:pt>
                <c:pt idx="112">
                  <c:v>0</c:v>
                </c:pt>
                <c:pt idx="113">
                  <c:v>0.16333333333333336</c:v>
                </c:pt>
                <c:pt idx="114">
                  <c:v>0.32666666666666666</c:v>
                </c:pt>
                <c:pt idx="115">
                  <c:v>0.49</c:v>
                </c:pt>
                <c:pt idx="116">
                  <c:v>0.65333333333333332</c:v>
                </c:pt>
                <c:pt idx="117">
                  <c:v>0.81666666666666665</c:v>
                </c:pt>
                <c:pt idx="118">
                  <c:v>0.98</c:v>
                </c:pt>
                <c:pt idx="119">
                  <c:v>0.81666666666666676</c:v>
                </c:pt>
                <c:pt idx="120">
                  <c:v>0.65333333333333343</c:v>
                </c:pt>
                <c:pt idx="121">
                  <c:v>0.49</c:v>
                </c:pt>
                <c:pt idx="122">
                  <c:v>0.32666666666666672</c:v>
                </c:pt>
                <c:pt idx="123">
                  <c:v>0.16333333333333336</c:v>
                </c:pt>
                <c:pt idx="124">
                  <c:v>0</c:v>
                </c:pt>
                <c:pt idx="125">
                  <c:v>0.16333333333333336</c:v>
                </c:pt>
                <c:pt idx="126">
                  <c:v>0.32666666666666666</c:v>
                </c:pt>
                <c:pt idx="127">
                  <c:v>0.49</c:v>
                </c:pt>
                <c:pt idx="128">
                  <c:v>0.65333333333333332</c:v>
                </c:pt>
                <c:pt idx="129">
                  <c:v>0.81666666666666665</c:v>
                </c:pt>
                <c:pt idx="130">
                  <c:v>0.98</c:v>
                </c:pt>
                <c:pt idx="131">
                  <c:v>0.81666666666666676</c:v>
                </c:pt>
                <c:pt idx="132">
                  <c:v>0.65333333333333343</c:v>
                </c:pt>
                <c:pt idx="133">
                  <c:v>0.49</c:v>
                </c:pt>
                <c:pt idx="134">
                  <c:v>0.32666666666666672</c:v>
                </c:pt>
                <c:pt idx="135">
                  <c:v>0.16333333333333336</c:v>
                </c:pt>
                <c:pt idx="136">
                  <c:v>0</c:v>
                </c:pt>
                <c:pt idx="137">
                  <c:v>0.16333333333333336</c:v>
                </c:pt>
                <c:pt idx="138">
                  <c:v>0.32666666666666666</c:v>
                </c:pt>
                <c:pt idx="139">
                  <c:v>0.49</c:v>
                </c:pt>
                <c:pt idx="140">
                  <c:v>0.65333333333333332</c:v>
                </c:pt>
                <c:pt idx="141">
                  <c:v>0.81666666666666665</c:v>
                </c:pt>
                <c:pt idx="142">
                  <c:v>0.98</c:v>
                </c:pt>
                <c:pt idx="143">
                  <c:v>0.81666666666666676</c:v>
                </c:pt>
                <c:pt idx="144">
                  <c:v>0.65333333333333343</c:v>
                </c:pt>
                <c:pt idx="145">
                  <c:v>0.49</c:v>
                </c:pt>
                <c:pt idx="146">
                  <c:v>0.32666666666666672</c:v>
                </c:pt>
                <c:pt idx="147">
                  <c:v>0.16333333333333336</c:v>
                </c:pt>
                <c:pt idx="148">
                  <c:v>0</c:v>
                </c:pt>
                <c:pt idx="149">
                  <c:v>0.16333333333333336</c:v>
                </c:pt>
                <c:pt idx="150">
                  <c:v>0.32666666666666666</c:v>
                </c:pt>
                <c:pt idx="151">
                  <c:v>0.49</c:v>
                </c:pt>
                <c:pt idx="152">
                  <c:v>0.65333333333333332</c:v>
                </c:pt>
                <c:pt idx="153">
                  <c:v>0.81666666666666665</c:v>
                </c:pt>
                <c:pt idx="154">
                  <c:v>0.98</c:v>
                </c:pt>
                <c:pt idx="155">
                  <c:v>0.81666666666666676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59-478D-BA4C-6BAA81A40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8968288"/>
        <c:axId val="1323609920"/>
      </c:lineChart>
      <c:dateAx>
        <c:axId val="16789682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609920"/>
        <c:crosses val="autoZero"/>
        <c:auto val="1"/>
        <c:lblOffset val="100"/>
        <c:baseTimeUnit val="months"/>
      </c:dateAx>
      <c:valAx>
        <c:axId val="1323609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896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График выхода на прибыльность и окупаемость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ДДП!$A$13</c:f>
              <c:strCache>
                <c:ptCount val="1"/>
                <c:pt idx="0">
                  <c:v>Свободный денежный поток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ДДП!$B$2:$Q$2</c:f>
              <c:numCache>
                <c:formatCode>General</c:formatCode>
                <c:ptCount val="1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</c:numCache>
            </c:numRef>
          </c:cat>
          <c:val>
            <c:numRef>
              <c:f>ДДП!$B$13:$Q$13</c:f>
              <c:numCache>
                <c:formatCode>[$$-409]#\ ##0</c:formatCode>
                <c:ptCount val="16"/>
                <c:pt idx="0">
                  <c:v>-36624095.493005365</c:v>
                </c:pt>
                <c:pt idx="1">
                  <c:v>-52400629.06779325</c:v>
                </c:pt>
                <c:pt idx="2">
                  <c:v>34531366.345756792</c:v>
                </c:pt>
                <c:pt idx="3">
                  <c:v>10845069.750545025</c:v>
                </c:pt>
                <c:pt idx="4">
                  <c:v>8068464.3253707681</c:v>
                </c:pt>
                <c:pt idx="5">
                  <c:v>8959946.699979132</c:v>
                </c:pt>
                <c:pt idx="6">
                  <c:v>8064332.2942347713</c:v>
                </c:pt>
                <c:pt idx="7">
                  <c:v>13728797.482424688</c:v>
                </c:pt>
                <c:pt idx="8">
                  <c:v>18277564.865110762</c:v>
                </c:pt>
                <c:pt idx="9">
                  <c:v>19252004.150895692</c:v>
                </c:pt>
                <c:pt idx="10">
                  <c:v>20280038.148645364</c:v>
                </c:pt>
                <c:pt idx="11">
                  <c:v>19460370.21394629</c:v>
                </c:pt>
                <c:pt idx="12">
                  <c:v>18446166.019662801</c:v>
                </c:pt>
                <c:pt idx="13">
                  <c:v>19369010.334052786</c:v>
                </c:pt>
                <c:pt idx="14">
                  <c:v>20342611.555188667</c:v>
                </c:pt>
                <c:pt idx="15">
                  <c:v>21369761.291097578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E-49C3-A405-ABE277569ABD}"/>
            </c:ext>
          </c:extLst>
        </c:ser>
        <c:ser>
          <c:idx val="1"/>
          <c:order val="1"/>
          <c:tx>
            <c:strRef>
              <c:f>ДДП!$A$16</c:f>
              <c:strCache>
                <c:ptCount val="1"/>
                <c:pt idx="0">
                  <c:v>Накопленный денежный поток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ДДП!$B$2:$Q$2</c:f>
              <c:numCache>
                <c:formatCode>General</c:formatCode>
                <c:ptCount val="1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</c:numCache>
            </c:numRef>
          </c:cat>
          <c:val>
            <c:numRef>
              <c:f>ДДП!$B$16:$Q$16</c:f>
              <c:numCache>
                <c:formatCode>[$$-409]#\ ##0</c:formatCode>
                <c:ptCount val="16"/>
                <c:pt idx="0">
                  <c:v>-36624095.493005365</c:v>
                </c:pt>
                <c:pt idx="1">
                  <c:v>-89024724.560798615</c:v>
                </c:pt>
                <c:pt idx="2">
                  <c:v>-54493358.215041824</c:v>
                </c:pt>
                <c:pt idx="3">
                  <c:v>-43648288.464496799</c:v>
                </c:pt>
                <c:pt idx="4">
                  <c:v>-35579824.139126033</c:v>
                </c:pt>
                <c:pt idx="5">
                  <c:v>-26619877.439146899</c:v>
                </c:pt>
                <c:pt idx="6">
                  <c:v>-18555545.144912127</c:v>
                </c:pt>
                <c:pt idx="7">
                  <c:v>-4826747.6624874398</c:v>
                </c:pt>
                <c:pt idx="8">
                  <c:v>13450817.202623323</c:v>
                </c:pt>
                <c:pt idx="9">
                  <c:v>32702821.353519015</c:v>
                </c:pt>
                <c:pt idx="10">
                  <c:v>52982859.502164379</c:v>
                </c:pt>
                <c:pt idx="11">
                  <c:v>72443229.716110677</c:v>
                </c:pt>
                <c:pt idx="12">
                  <c:v>90889395.735773474</c:v>
                </c:pt>
                <c:pt idx="13">
                  <c:v>110258406.06982626</c:v>
                </c:pt>
                <c:pt idx="14">
                  <c:v>130601017.62501493</c:v>
                </c:pt>
                <c:pt idx="15">
                  <c:v>151970778.91611251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C-40AE-AC5D-E46BBC572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1080480"/>
        <c:axId val="-1861079392"/>
      </c:lineChart>
      <c:catAx>
        <c:axId val="-186108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61079392"/>
        <c:crosses val="autoZero"/>
        <c:auto val="1"/>
        <c:lblAlgn val="ctr"/>
        <c:lblOffset val="100"/>
        <c:noMultiLvlLbl val="0"/>
      </c:catAx>
      <c:valAx>
        <c:axId val="-186107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6108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k-KZ"/>
              <a:t>Структура выручки и себестоимости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ОПиУ!$A$42</c:f>
              <c:strCache>
                <c:ptCount val="1"/>
                <c:pt idx="0">
                  <c:v> Переменные расходы к выручке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ДДП!$D$2:$Q$2</c:f>
              <c:numCache>
                <c:formatCode>General</c:formatCode>
                <c:ptCount val="14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</c:numCache>
            </c:numRef>
          </c:cat>
          <c:val>
            <c:numRef>
              <c:f>ОПиУ!$D$42:$Q$42</c:f>
              <c:numCache>
                <c:formatCode>0%</c:formatCode>
                <c:ptCount val="14"/>
                <c:pt idx="0">
                  <c:v>0.16714139475273651</c:v>
                </c:pt>
                <c:pt idx="1">
                  <c:v>0.25260843012828638</c:v>
                </c:pt>
                <c:pt idx="2">
                  <c:v>0.25252097369916132</c:v>
                </c:pt>
                <c:pt idx="3">
                  <c:v>0.25252097369916127</c:v>
                </c:pt>
                <c:pt idx="4">
                  <c:v>0.25252097369916121</c:v>
                </c:pt>
                <c:pt idx="5">
                  <c:v>0.25252097369916127</c:v>
                </c:pt>
                <c:pt idx="6">
                  <c:v>0.25252097369916127</c:v>
                </c:pt>
                <c:pt idx="7">
                  <c:v>0.25252097369916132</c:v>
                </c:pt>
                <c:pt idx="8">
                  <c:v>0.25252097369916132</c:v>
                </c:pt>
                <c:pt idx="9">
                  <c:v>0.25252097369916127</c:v>
                </c:pt>
                <c:pt idx="10">
                  <c:v>0.27051640616945621</c:v>
                </c:pt>
                <c:pt idx="11">
                  <c:v>0.27192567500107118</c:v>
                </c:pt>
                <c:pt idx="12">
                  <c:v>0.27327509715379944</c:v>
                </c:pt>
                <c:pt idx="13">
                  <c:v>0.27456659252673821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A-44B3-9556-5CC223F28DCD}"/>
            </c:ext>
          </c:extLst>
        </c:ser>
        <c:ser>
          <c:idx val="2"/>
          <c:order val="1"/>
          <c:tx>
            <c:strRef>
              <c:f>ОПиУ!$A$43</c:f>
              <c:strCache>
                <c:ptCount val="1"/>
                <c:pt idx="0">
                  <c:v> Постоянные расходы к выручке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ДДП!$D$2:$Q$2</c:f>
              <c:numCache>
                <c:formatCode>General</c:formatCode>
                <c:ptCount val="14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</c:numCache>
            </c:numRef>
          </c:cat>
          <c:val>
            <c:numRef>
              <c:f>ОПиУ!$D$43:$Q$43</c:f>
              <c:numCache>
                <c:formatCode>0%</c:formatCode>
                <c:ptCount val="14"/>
                <c:pt idx="0">
                  <c:v>0.25222026763833155</c:v>
                </c:pt>
                <c:pt idx="1">
                  <c:v>0.13797616078693248</c:v>
                </c:pt>
                <c:pt idx="2">
                  <c:v>0.111083530279144</c:v>
                </c:pt>
                <c:pt idx="3">
                  <c:v>0.11587357028156398</c:v>
                </c:pt>
                <c:pt idx="4">
                  <c:v>0.17583267020891191</c:v>
                </c:pt>
                <c:pt idx="5">
                  <c:v>0.22507419172705118</c:v>
                </c:pt>
                <c:pt idx="6">
                  <c:v>0.25183790582636939</c:v>
                </c:pt>
                <c:pt idx="7">
                  <c:v>0.25263026980671027</c:v>
                </c:pt>
                <c:pt idx="8">
                  <c:v>0.25338131228181504</c:v>
                </c:pt>
                <c:pt idx="9">
                  <c:v>0.29806904334414314</c:v>
                </c:pt>
                <c:pt idx="10">
                  <c:v>0.29692850598963966</c:v>
                </c:pt>
                <c:pt idx="11">
                  <c:v>0.29531454738481666</c:v>
                </c:pt>
                <c:pt idx="12">
                  <c:v>0.29376911792042171</c:v>
                </c:pt>
                <c:pt idx="13">
                  <c:v>0.29229002018868688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A-44B3-9556-5CC223F28DCD}"/>
            </c:ext>
          </c:extLst>
        </c:ser>
        <c:ser>
          <c:idx val="3"/>
          <c:order val="2"/>
          <c:tx>
            <c:strRef>
              <c:f>ОПиУ!$A$45</c:f>
              <c:strCache>
                <c:ptCount val="1"/>
                <c:pt idx="0">
                  <c:v> Чистая прибыль к выручке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ДДП!$D$2:$Q$2</c:f>
              <c:numCache>
                <c:formatCode>General</c:formatCode>
                <c:ptCount val="14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</c:numCache>
            </c:numRef>
          </c:cat>
          <c:val>
            <c:numRef>
              <c:f>ОПиУ!$D$45:$Q$45</c:f>
              <c:numCache>
                <c:formatCode>0%</c:formatCode>
                <c:ptCount val="14"/>
                <c:pt idx="0">
                  <c:v>0.70413574954813185</c:v>
                </c:pt>
                <c:pt idx="1">
                  <c:v>4.6935325764163968E-2</c:v>
                </c:pt>
                <c:pt idx="2">
                  <c:v>-4.8803605490790436E-2</c:v>
                </c:pt>
                <c:pt idx="3">
                  <c:v>-1.7872365319573688E-2</c:v>
                </c:pt>
                <c:pt idx="4">
                  <c:v>-4.3972431906981552E-2</c:v>
                </c:pt>
                <c:pt idx="5">
                  <c:v>0.12037419840363515</c:v>
                </c:pt>
                <c:pt idx="6">
                  <c:v>0.23744978041092488</c:v>
                </c:pt>
                <c:pt idx="7">
                  <c:v>0.2501176284718114</c:v>
                </c:pt>
                <c:pt idx="8">
                  <c:v>0.26212508082251468</c:v>
                </c:pt>
                <c:pt idx="9">
                  <c:v>0.4494099829566956</c:v>
                </c:pt>
                <c:pt idx="10">
                  <c:v>0.43255508784090418</c:v>
                </c:pt>
                <c:pt idx="11">
                  <c:v>0.43275977761411222</c:v>
                </c:pt>
                <c:pt idx="12">
                  <c:v>0.43295578492577891</c:v>
                </c:pt>
                <c:pt idx="13">
                  <c:v>0.43314338728457491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7-45AA-82FD-42295561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61094624"/>
        <c:axId val="-1861085920"/>
      </c:barChart>
      <c:catAx>
        <c:axId val="-186109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61085920"/>
        <c:crosses val="autoZero"/>
        <c:auto val="1"/>
        <c:lblAlgn val="ctr"/>
        <c:lblOffset val="100"/>
        <c:noMultiLvlLbl val="0"/>
      </c:catAx>
      <c:valAx>
        <c:axId val="-18610859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6109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Точка безубыточности</a:t>
            </a:r>
            <a:r>
              <a:rPr lang="en-US"/>
              <a:t>,</a:t>
            </a:r>
            <a:r>
              <a:rPr lang="en-US" baseline="0"/>
              <a:t> USD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ОПиУ!$A$48</c:f>
              <c:strCache>
                <c:ptCount val="1"/>
                <c:pt idx="0">
                  <c:v>Точка безубыточности, тенге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ОПиУ!$B$40:$Q$40</c:f>
              <c:numCache>
                <c:formatCode>General</c:formatCode>
                <c:ptCount val="1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</c:numCache>
            </c:numRef>
          </c:cat>
          <c:val>
            <c:numRef>
              <c:f>ОПиУ!$B$48:$Q$48</c:f>
              <c:numCache>
                <c:formatCode>_(* #\ ##0_);_(* \(#\ ##0\);_(* "-"??_);_(@_)</c:formatCode>
                <c:ptCount val="16"/>
                <c:pt idx="1">
                  <c:v>-390263.25914301444</c:v>
                </c:pt>
                <c:pt idx="2">
                  <c:v>4340379.862095315</c:v>
                </c:pt>
                <c:pt idx="3">
                  <c:v>4764256.3915409967</c:v>
                </c:pt>
                <c:pt idx="4">
                  <c:v>4909648.3974348363</c:v>
                </c:pt>
                <c:pt idx="5">
                  <c:v>5056041.3529729676</c:v>
                </c:pt>
                <c:pt idx="6">
                  <c:v>8281020.7560745655</c:v>
                </c:pt>
                <c:pt idx="7">
                  <c:v>9117820.3134949859</c:v>
                </c:pt>
                <c:pt idx="8">
                  <c:v>9495708.1998295225</c:v>
                </c:pt>
                <c:pt idx="9">
                  <c:v>9894378.9566883277</c:v>
                </c:pt>
                <c:pt idx="10">
                  <c:v>10314975.68333151</c:v>
                </c:pt>
                <c:pt idx="11">
                  <c:v>10758704.348372916</c:v>
                </c:pt>
                <c:pt idx="12">
                  <c:v>11036402.57858577</c:v>
                </c:pt>
                <c:pt idx="13">
                  <c:v>11503121.780831877</c:v>
                </c:pt>
                <c:pt idx="14">
                  <c:v>11995204.692341661</c:v>
                </c:pt>
                <c:pt idx="15">
                  <c:v>12514056.285469538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C-4FD7-BA11-AC23A885F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61088640"/>
        <c:axId val="-1861083744"/>
      </c:barChart>
      <c:catAx>
        <c:axId val="-186108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61083744"/>
        <c:crosses val="autoZero"/>
        <c:auto val="1"/>
        <c:lblAlgn val="ctr"/>
        <c:lblOffset val="100"/>
        <c:noMultiLvlLbl val="0"/>
      </c:catAx>
      <c:valAx>
        <c:axId val="-18610837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6108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Структура распределения выручки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255196479262841E-2"/>
          <c:y val="0.17487058690475776"/>
          <c:w val="0.47266569482168891"/>
          <c:h val="0.730373980972734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D6-44E7-9CA2-B513C8D782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D6-44E7-9CA2-B513C8D782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D6-44E7-9CA2-B513C8D782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D6-44E7-9CA2-B513C8D782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D6-44E7-9CA2-B513C8D782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AD6-44E7-9CA2-B513C8D782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AD6-44E7-9CA2-B513C8D782C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933-4234-8984-7C0BEC9FB2C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933-4234-8984-7C0BEC9FB2C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4A5-43B6-B343-AD66675C777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867-4175-A3FA-F7F4E0A29E3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867-4175-A3FA-F7F4E0A29E3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867-4175-A3FA-F7F4E0A29E3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867-4175-A3FA-F7F4E0A29E3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867-4175-A3FA-F7F4E0A29E3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913-4449-8E2A-CE796E8226C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913-4449-8E2A-CE796E8226C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913-4449-8E2A-CE796E8226C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5AA-4835-A03B-D3B244B13BF5}"/>
              </c:ext>
            </c:extLst>
          </c:dPt>
          <c:dLbls>
            <c:dLbl>
              <c:idx val="6"/>
              <c:layout>
                <c:manualLayout>
                  <c:x val="2.3212616099755206E-2"/>
                  <c:y val="1.26491085166078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D6-44E7-9CA2-B513C8D782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(ОПиУ!$A$14,ОПиУ!$A$22:$A$30,ОПиУ!$A$33,ОПиУ!$A$34,ОПиУ!$A$36:$A$37)</c:f>
              <c:strCache>
                <c:ptCount val="14"/>
                <c:pt idx="0">
                  <c:v>СЕБЕСТОИМОСТЬ ПРОДУКЦИИ</c:v>
                </c:pt>
                <c:pt idx="1">
                  <c:v>Расходы на электроэнергию</c:v>
                </c:pt>
                <c:pt idx="2">
                  <c:v>Расходы на логистику</c:v>
                </c:pt>
                <c:pt idx="3">
                  <c:v>Прочие коммунальные расходы</c:v>
                </c:pt>
                <c:pt idx="4">
                  <c:v>Фонд оплаты труда</c:v>
                </c:pt>
                <c:pt idx="5">
                  <c:v>Налоги на ФОТ</c:v>
                </c:pt>
                <c:pt idx="6">
                  <c:v>Расходы на маркетинг</c:v>
                </c:pt>
                <c:pt idx="7">
                  <c:v>Расходы на ГСМ и обслуживание авто</c:v>
                </c:pt>
                <c:pt idx="8">
                  <c:v>Непредвиденные расходы (1%)</c:v>
                </c:pt>
                <c:pt idx="9">
                  <c:v>НДС к уплате</c:v>
                </c:pt>
                <c:pt idx="10">
                  <c:v>Проценты по кредиту</c:v>
                </c:pt>
                <c:pt idx="11">
                  <c:v>Амортизационные отчисления</c:v>
                </c:pt>
                <c:pt idx="12">
                  <c:v>Подоходный налог</c:v>
                </c:pt>
                <c:pt idx="13">
                  <c:v>ЧИСТАЯ ПРИБЫЛЬ</c:v>
                </c:pt>
              </c:strCache>
            </c:strRef>
          </c:cat>
          <c:val>
            <c:numRef>
              <c:f>(ОПиУ!$T$14,ОПиУ!$T$22:$T$30,ОПиУ!$T$33,ОПиУ!$T$34,ОПиУ!$T$36:$T$37)</c:f>
              <c:numCache>
                <c:formatCode>_(* #\ ##0_);_(* \(#\ ##0\);_(* "-"??_);_(@_)</c:formatCode>
                <c:ptCount val="14"/>
                <c:pt idx="0">
                  <c:v>141892839.63857299</c:v>
                </c:pt>
                <c:pt idx="1">
                  <c:v>23984504.161278043</c:v>
                </c:pt>
                <c:pt idx="2">
                  <c:v>14533258.934337623</c:v>
                </c:pt>
                <c:pt idx="3">
                  <c:v>596302.42075911222</c:v>
                </c:pt>
                <c:pt idx="4">
                  <c:v>14202382.038061162</c:v>
                </c:pt>
                <c:pt idx="5">
                  <c:v>4970833.7133214064</c:v>
                </c:pt>
                <c:pt idx="6">
                  <c:v>2127602.1240684758</c:v>
                </c:pt>
                <c:pt idx="7">
                  <c:v>596302.42075911222</c:v>
                </c:pt>
                <c:pt idx="8">
                  <c:v>610111.85812584951</c:v>
                </c:pt>
                <c:pt idx="9">
                  <c:v>32231833.356366254</c:v>
                </c:pt>
                <c:pt idx="10">
                  <c:v>43501545.542453825</c:v>
                </c:pt>
                <c:pt idx="11">
                  <c:v>95257334.55263935</c:v>
                </c:pt>
                <c:pt idx="12">
                  <c:v>37981415.209460057</c:v>
                </c:pt>
                <c:pt idx="13">
                  <c:v>151925660.83784023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AD6-44E7-9CA2-B513C8D78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65930532935265"/>
          <c:y val="9.6590082835387017E-2"/>
          <c:w val="0.37087261494483525"/>
          <c:h val="0.89507917803592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</a:t>
            </a:r>
            <a:r>
              <a:rPr lang="en-US"/>
              <a:t>NPV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ДДП!$B$2:$Q$2</c:f>
              <c:numCache>
                <c:formatCode>General</c:formatCode>
                <c:ptCount val="1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</c:numCache>
            </c:numRef>
          </c:cat>
          <c:val>
            <c:numRef>
              <c:f>ДДП!$B$18:$Q$18</c:f>
              <c:numCache>
                <c:formatCode>[$$-409]#\ ##0</c:formatCode>
                <c:ptCount val="16"/>
                <c:pt idx="0">
                  <c:v>-36624095.493005365</c:v>
                </c:pt>
                <c:pt idx="1">
                  <c:v>-47946873.916486979</c:v>
                </c:pt>
                <c:pt idx="2">
                  <c:v>28910882.947506722</c:v>
                </c:pt>
                <c:pt idx="3">
                  <c:v>8308138.6981750783</c:v>
                </c:pt>
                <c:pt idx="4">
                  <c:v>5655696.1343387309</c:v>
                </c:pt>
                <c:pt idx="5">
                  <c:v>5746777.823660966</c:v>
                </c:pt>
                <c:pt idx="6">
                  <c:v>4732724.1489427006</c:v>
                </c:pt>
                <c:pt idx="7">
                  <c:v>7372233.3292132216</c:v>
                </c:pt>
                <c:pt idx="8">
                  <c:v>8980669.2798405252</c:v>
                </c:pt>
                <c:pt idx="9">
                  <c:v>8655459.1781996917</c:v>
                </c:pt>
                <c:pt idx="10">
                  <c:v>8342701.9748048391</c:v>
                </c:pt>
                <c:pt idx="11">
                  <c:v>7325088.1649177168</c:v>
                </c:pt>
                <c:pt idx="12">
                  <c:v>6353187.4229257265</c:v>
                </c:pt>
                <c:pt idx="13">
                  <c:v>6104031.7155759297</c:v>
                </c:pt>
                <c:pt idx="14">
                  <c:v>5865970.2095669052</c:v>
                </c:pt>
                <c:pt idx="15">
                  <c:v>5638409.4978038426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ED-4988-9506-646AF90C9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596271"/>
        <c:axId val="1782597519"/>
      </c:lineChart>
      <c:catAx>
        <c:axId val="178259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2597519"/>
        <c:crosses val="autoZero"/>
        <c:auto val="1"/>
        <c:lblAlgn val="ctr"/>
        <c:lblOffset val="100"/>
        <c:noMultiLvlLbl val="0"/>
      </c:catAx>
      <c:valAx>
        <c:axId val="178259751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2596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Структура выручки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48-432E-B554-ED00D77352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48-432E-B554-ED00D77352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48-432E-B554-ED00D77352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190-4387-81CF-74310DD45A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F79-4ADD-AAB7-49CEDA5A3D0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F79-4ADD-AAB7-49CEDA5A3D0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F79-4ADD-AAB7-49CEDA5A3D0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F79-4ADD-AAB7-49CEDA5A3D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(ОПиУ!$A$4:$A$7,ОПиУ!$A$9:$A$12)</c:f>
              <c:strCache>
                <c:ptCount val="8"/>
                <c:pt idx="0">
                  <c:v>Реализация картофеля</c:v>
                </c:pt>
                <c:pt idx="1">
                  <c:v>Реализация моркови</c:v>
                </c:pt>
                <c:pt idx="2">
                  <c:v>Реализация лука</c:v>
                </c:pt>
                <c:pt idx="3">
                  <c:v>Реализация капусты</c:v>
                </c:pt>
                <c:pt idx="4">
                  <c:v>Получение субсидий</c:v>
                </c:pt>
                <c:pt idx="5">
                  <c:v>Чистый доход от СВХ</c:v>
                </c:pt>
                <c:pt idx="6">
                  <c:v>Чистый доход от хранения техники</c:v>
                </c:pt>
                <c:pt idx="7">
                  <c:v>Реализация собственного картофеля</c:v>
                </c:pt>
              </c:strCache>
            </c:strRef>
          </c:cat>
          <c:val>
            <c:numRef>
              <c:f>(ОПиУ!$R$4:$R$7,ОПиУ!$R$9:$R$12)</c:f>
              <c:numCache>
                <c:formatCode>[$$-409]#\ ##0</c:formatCode>
                <c:ptCount val="8"/>
                <c:pt idx="0">
                  <c:v>265500618.33400685</c:v>
                </c:pt>
                <c:pt idx="1">
                  <c:v>70079963.996594816</c:v>
                </c:pt>
                <c:pt idx="2">
                  <c:v>50779572.017299555</c:v>
                </c:pt>
                <c:pt idx="3">
                  <c:v>38645191.203280255</c:v>
                </c:pt>
                <c:pt idx="4">
                  <c:v>14980981.509657241</c:v>
                </c:pt>
                <c:pt idx="5">
                  <c:v>29248633.73823446</c:v>
                </c:pt>
                <c:pt idx="6">
                  <c:v>8398919.596392097</c:v>
                </c:pt>
                <c:pt idx="7">
                  <c:v>71797064.902921036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48-432E-B554-ED00D7735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13451443569552"/>
          <c:y val="0.21172353455818022"/>
          <c:w val="0.26721357161815446"/>
          <c:h val="0.75442913385826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Назначение инвестиций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F1-4CC5-B75B-B679657E2B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F1-4CC5-B75B-B679657E2B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'CapEx и аморт.'!$A$42:$A$43</c:f>
              <c:strCache>
                <c:ptCount val="2"/>
                <c:pt idx="0">
                  <c:v>Капитальные затраты</c:v>
                </c:pt>
                <c:pt idx="1">
                  <c:v>Оборотный капитал</c:v>
                </c:pt>
              </c:strCache>
            </c:strRef>
          </c:cat>
          <c:val>
            <c:numRef>
              <c:f>'CapEx и аморт.'!$B$42:$B$43</c:f>
              <c:numCache>
                <c:formatCode>[$$-409]#\ ##0</c:formatCode>
                <c:ptCount val="2"/>
                <c:pt idx="0">
                  <c:v>95212216.474367097</c:v>
                </c:pt>
                <c:pt idx="1">
                  <c:v>8362891.960046771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F1-4CC5-B75B-B679657E2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685800</xdr:colOff>
      <xdr:row>13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24765</xdr:colOff>
      <xdr:row>0</xdr:row>
      <xdr:rowOff>0</xdr:rowOff>
    </xdr:from>
    <xdr:to>
      <xdr:col>14</xdr:col>
      <xdr:colOff>299085</xdr:colOff>
      <xdr:row>14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</xdr:colOff>
      <xdr:row>14</xdr:row>
      <xdr:rowOff>0</xdr:rowOff>
    </xdr:from>
    <xdr:to>
      <xdr:col>14</xdr:col>
      <xdr:colOff>470535</xdr:colOff>
      <xdr:row>31</xdr:row>
      <xdr:rowOff>106680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</xdr:colOff>
      <xdr:row>41</xdr:row>
      <xdr:rowOff>152400</xdr:rowOff>
    </xdr:from>
    <xdr:to>
      <xdr:col>6</xdr:col>
      <xdr:colOff>15240</xdr:colOff>
      <xdr:row>56</xdr:row>
      <xdr:rowOff>45720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7620</xdr:colOff>
      <xdr:row>46</xdr:row>
      <xdr:rowOff>114300</xdr:rowOff>
    </xdr:from>
    <xdr:to>
      <xdr:col>13</xdr:col>
      <xdr:colOff>110490</xdr:colOff>
      <xdr:row>57</xdr:row>
      <xdr:rowOff>167640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14</xdr:row>
      <xdr:rowOff>83819</xdr:rowOff>
    </xdr:from>
    <xdr:to>
      <xdr:col>5</xdr:col>
      <xdr:colOff>670561</xdr:colOff>
      <xdr:row>38</xdr:row>
      <xdr:rowOff>45720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53340</xdr:colOff>
      <xdr:row>58</xdr:row>
      <xdr:rowOff>7620</xdr:rowOff>
    </xdr:from>
    <xdr:to>
      <xdr:col>6</xdr:col>
      <xdr:colOff>0</xdr:colOff>
      <xdr:row>73</xdr:row>
      <xdr:rowOff>7620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44E14EE-A933-4B0D-B413-13D6A5A54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53340</xdr:colOff>
      <xdr:row>74</xdr:row>
      <xdr:rowOff>160020</xdr:rowOff>
    </xdr:from>
    <xdr:to>
      <xdr:col>6</xdr:col>
      <xdr:colOff>15240</xdr:colOff>
      <xdr:row>89</xdr:row>
      <xdr:rowOff>160020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5065EDD-2FBD-45A0-80C3-2F970C41D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22860</xdr:colOff>
      <xdr:row>58</xdr:row>
      <xdr:rowOff>0</xdr:rowOff>
    </xdr:from>
    <xdr:to>
      <xdr:col>13</xdr:col>
      <xdr:colOff>60960</xdr:colOff>
      <xdr:row>73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0F63A2-B47E-40B8-AB64-C45EE12BA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7620</xdr:colOff>
      <xdr:row>74</xdr:row>
      <xdr:rowOff>22860</xdr:rowOff>
    </xdr:from>
    <xdr:to>
      <xdr:col>14</xdr:col>
      <xdr:colOff>259080</xdr:colOff>
      <xdr:row>91</xdr:row>
      <xdr:rowOff>175260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D8704CF-DA1F-477D-9246-6593F86CE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266700</xdr:colOff>
      <xdr:row>107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AE3C9B-230A-4123-AD40-26A740A93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205740</xdr:colOff>
      <xdr:row>136</xdr:row>
      <xdr:rowOff>7620</xdr:rowOff>
    </xdr:from>
    <xdr:to>
      <xdr:col>6</xdr:col>
      <xdr:colOff>335280</xdr:colOff>
      <xdr:row>151</xdr:row>
      <xdr:rowOff>7620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C2C3CE6-78E3-17ED-EA62-C588462FC4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137160</xdr:colOff>
      <xdr:row>113</xdr:row>
      <xdr:rowOff>152400</xdr:rowOff>
    </xdr:from>
    <xdr:to>
      <xdr:col>15</xdr:col>
      <xdr:colOff>510540</xdr:colOff>
      <xdr:row>134</xdr:row>
      <xdr:rowOff>45720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C0C775C-0065-5832-8791-1907AAF8FB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7620</xdr:colOff>
      <xdr:row>135</xdr:row>
      <xdr:rowOff>0</xdr:rowOff>
    </xdr:from>
    <xdr:to>
      <xdr:col>15</xdr:col>
      <xdr:colOff>381000</xdr:colOff>
      <xdr:row>150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413E0FE-301A-953E-FBF0-C7FA2C1C9A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153</xdr:row>
      <xdr:rowOff>152400</xdr:rowOff>
    </xdr:from>
    <xdr:to>
      <xdr:col>10</xdr:col>
      <xdr:colOff>274320</xdr:colOff>
      <xdr:row>168</xdr:row>
      <xdr:rowOff>152400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DBD223F-F2CD-4A4A-61D0-C7A026AF6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22860</xdr:colOff>
      <xdr:row>170</xdr:row>
      <xdr:rowOff>7620</xdr:rowOff>
    </xdr:from>
    <xdr:to>
      <xdr:col>10</xdr:col>
      <xdr:colOff>297180</xdr:colOff>
      <xdr:row>185</xdr:row>
      <xdr:rowOff>7620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9F0E789-89DF-A88C-0F03-FEF8C24C0A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22860</xdr:colOff>
      <xdr:row>173</xdr:row>
      <xdr:rowOff>152400</xdr:rowOff>
    </xdr:from>
    <xdr:to>
      <xdr:col>4</xdr:col>
      <xdr:colOff>190500</xdr:colOff>
      <xdr:row>188</xdr:row>
      <xdr:rowOff>152400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53E2363-596D-897B-BC1A-BA5B71853E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186</xdr:row>
      <xdr:rowOff>0</xdr:rowOff>
    </xdr:from>
    <xdr:to>
      <xdr:col>10</xdr:col>
      <xdr:colOff>274320</xdr:colOff>
      <xdr:row>201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EC303F-A9B4-4F47-A321-DCE2DFADD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38100</xdr:colOff>
      <xdr:row>107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2B8F1661-A4DA-460B-9418-7D107153E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190</xdr:row>
      <xdr:rowOff>0</xdr:rowOff>
    </xdr:from>
    <xdr:to>
      <xdr:col>4</xdr:col>
      <xdr:colOff>167640</xdr:colOff>
      <xdr:row>205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B3AB1FD-3D05-4BC8-BFF0-AB725A81D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4</xdr:col>
      <xdr:colOff>167640</xdr:colOff>
      <xdr:row>221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87787568-4A47-4329-B682-4480EF980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13</xdr:col>
      <xdr:colOff>38100</xdr:colOff>
      <xdr:row>47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FB837B-0109-4813-ABA0-9E00F0676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202</xdr:row>
      <xdr:rowOff>0</xdr:rowOff>
    </xdr:from>
    <xdr:to>
      <xdr:col>10</xdr:col>
      <xdr:colOff>274320</xdr:colOff>
      <xdr:row>217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289BDDA-5940-4163-82B3-70870097C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sta\Downloads\&#1055;&#1086;&#1089;&#1077;&#1074;&#1085;&#1072;&#1103;%20&#1087;&#1083;&#1086;&#1097;&#1072;&#1076;&#1100;%20&#1086;&#1089;&#1085;&#1086;&#1074;&#1085;&#1099;&#1093;.xls" TargetMode="External"/><Relationship Id="rId1" Type="http://schemas.openxmlformats.org/officeDocument/2006/relationships/externalLinkPath" Target="/Users/kasta/Downloads/&#1055;&#1086;&#1089;&#1077;&#1074;&#1085;&#1072;&#1103;%20&#1087;&#1083;&#1086;&#1097;&#1072;&#1076;&#1100;%20&#1086;&#1089;&#1085;&#1086;&#1074;&#1085;&#1099;&#1093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sta\Downloads\&#1042;&#1072;&#1083;&#1086;&#1074;&#1086;&#1080;&#774;%20&#1089;&#1073;&#1086;&#1088;%20&#1089;&#1077;&#1083;&#1100;&#1089;&#1082;&#1086;&#1093;&#1086;&#1079;&#1103;&#1080;&#774;.xls" TargetMode="External"/><Relationship Id="rId1" Type="http://schemas.openxmlformats.org/officeDocument/2006/relationships/externalLinkPath" Target="/Users/kasta/Downloads/&#1042;&#1072;&#1083;&#1086;&#1074;&#1086;&#1080;&#774;%20&#1089;&#1073;&#1086;&#1088;%20&#1089;&#1077;&#1083;&#1100;&#1089;&#1082;&#1086;&#1093;&#1086;&#1079;&#1103;&#1080;&#774;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sta\Downloads\&#1059;&#1088;&#1086;&#1078;&#1072;&#1080;&#774;&#1085;&#1086;&#1089;&#1090;&#1100;%20&#1089;&#1077;&#1083;&#1100;&#1089;&#1082;&#1086;&#1093;&#1086;&#1079;&#1103;&#1080;&#774;&#1089;.xls" TargetMode="External"/><Relationship Id="rId1" Type="http://schemas.openxmlformats.org/officeDocument/2006/relationships/externalLinkPath" Target="/Users/kasta/Downloads/&#1059;&#1088;&#1086;&#1078;&#1072;&#1080;&#774;&#1085;&#1086;&#1089;&#1090;&#1100;%20&#1089;&#1077;&#1083;&#1100;&#1089;&#1082;&#1086;&#1093;&#1086;&#1079;&#1103;&#1080;&#774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осевная площадь "/>
    </sheetNames>
    <sheetDataSet>
      <sheetData sheetId="0">
        <row r="3">
          <cell r="F3" t="str">
            <v>Картофель</v>
          </cell>
          <cell r="G3" t="str">
            <v>Овощи открытого грунта</v>
          </cell>
        </row>
        <row r="4">
          <cell r="A4">
            <v>1990</v>
          </cell>
          <cell r="F4">
            <v>205.9</v>
          </cell>
          <cell r="G4">
            <v>70.8</v>
          </cell>
        </row>
        <row r="5">
          <cell r="A5">
            <v>1991</v>
          </cell>
          <cell r="F5">
            <v>216.8</v>
          </cell>
          <cell r="G5">
            <v>75.099999999999994</v>
          </cell>
        </row>
        <row r="6">
          <cell r="A6">
            <v>1992</v>
          </cell>
          <cell r="F6">
            <v>246.9</v>
          </cell>
          <cell r="G6">
            <v>83.3</v>
          </cell>
        </row>
        <row r="7">
          <cell r="A7">
            <v>1993</v>
          </cell>
          <cell r="F7">
            <v>243.9</v>
          </cell>
          <cell r="G7">
            <v>74</v>
          </cell>
        </row>
        <row r="8">
          <cell r="A8">
            <v>1994</v>
          </cell>
          <cell r="F8">
            <v>218.3</v>
          </cell>
          <cell r="G8">
            <v>73.400000000000006</v>
          </cell>
        </row>
        <row r="9">
          <cell r="A9">
            <v>1995</v>
          </cell>
          <cell r="F9">
            <v>205.9</v>
          </cell>
          <cell r="G9">
            <v>76.099999999999994</v>
          </cell>
        </row>
        <row r="10">
          <cell r="A10">
            <v>1996</v>
          </cell>
          <cell r="F10">
            <v>189.4</v>
          </cell>
          <cell r="G10">
            <v>79.8</v>
          </cell>
        </row>
        <row r="11">
          <cell r="A11">
            <v>1997</v>
          </cell>
          <cell r="F11">
            <v>176.3</v>
          </cell>
          <cell r="G11">
            <v>87.1</v>
          </cell>
        </row>
        <row r="12">
          <cell r="A12">
            <v>1998</v>
          </cell>
          <cell r="F12">
            <v>169.9</v>
          </cell>
          <cell r="G12">
            <v>96.5</v>
          </cell>
        </row>
        <row r="13">
          <cell r="A13">
            <v>1999</v>
          </cell>
          <cell r="F13">
            <v>156.30000000000001</v>
          </cell>
          <cell r="G13">
            <v>96.1</v>
          </cell>
        </row>
        <row r="14">
          <cell r="A14">
            <v>2000</v>
          </cell>
          <cell r="F14">
            <v>160.30000000000001</v>
          </cell>
          <cell r="G14">
            <v>102.6</v>
          </cell>
        </row>
        <row r="15">
          <cell r="A15">
            <v>2001</v>
          </cell>
          <cell r="F15">
            <v>164.6</v>
          </cell>
          <cell r="G15">
            <v>107.7</v>
          </cell>
        </row>
        <row r="16">
          <cell r="A16">
            <v>2002</v>
          </cell>
          <cell r="F16">
            <v>163</v>
          </cell>
          <cell r="G16">
            <v>108.7</v>
          </cell>
        </row>
        <row r="17">
          <cell r="A17">
            <v>2003</v>
          </cell>
          <cell r="F17">
            <v>166.9</v>
          </cell>
          <cell r="G17">
            <v>110.2</v>
          </cell>
        </row>
        <row r="18">
          <cell r="A18">
            <v>2004</v>
          </cell>
          <cell r="F18">
            <v>168.2</v>
          </cell>
          <cell r="G18">
            <v>111.3</v>
          </cell>
        </row>
        <row r="19">
          <cell r="A19">
            <v>2005</v>
          </cell>
          <cell r="F19">
            <v>168.2</v>
          </cell>
          <cell r="G19">
            <v>110.8</v>
          </cell>
        </row>
        <row r="20">
          <cell r="A20">
            <v>2006</v>
          </cell>
          <cell r="F20">
            <v>153.9</v>
          </cell>
          <cell r="G20">
            <v>103</v>
          </cell>
        </row>
        <row r="21">
          <cell r="A21">
            <v>2007</v>
          </cell>
          <cell r="F21">
            <v>155.5</v>
          </cell>
          <cell r="G21">
            <v>104.2</v>
          </cell>
        </row>
        <row r="22">
          <cell r="A22">
            <v>2008</v>
          </cell>
          <cell r="F22">
            <v>163.69999999999999</v>
          </cell>
          <cell r="G22">
            <v>112.9</v>
          </cell>
        </row>
        <row r="23">
          <cell r="A23">
            <v>2009</v>
          </cell>
          <cell r="F23">
            <v>170.3</v>
          </cell>
          <cell r="G23">
            <v>110.6</v>
          </cell>
        </row>
        <row r="24">
          <cell r="A24">
            <v>2010</v>
          </cell>
          <cell r="F24">
            <v>179.5</v>
          </cell>
          <cell r="G24">
            <v>120.3</v>
          </cell>
        </row>
        <row r="25">
          <cell r="A25">
            <v>2011</v>
          </cell>
          <cell r="F25">
            <v>184.39999999999998</v>
          </cell>
          <cell r="G25">
            <v>128.69999999999999</v>
          </cell>
        </row>
        <row r="26">
          <cell r="A26">
            <v>2012</v>
          </cell>
          <cell r="F26">
            <v>190.2</v>
          </cell>
          <cell r="G26">
            <v>128.69999999999999</v>
          </cell>
        </row>
        <row r="27">
          <cell r="A27">
            <v>2013</v>
          </cell>
          <cell r="F27">
            <v>184.79999999999998</v>
          </cell>
          <cell r="G27">
            <v>133.1</v>
          </cell>
        </row>
        <row r="28">
          <cell r="A28">
            <v>2014</v>
          </cell>
          <cell r="F28">
            <v>186.8</v>
          </cell>
          <cell r="G28">
            <v>137.69999999999999</v>
          </cell>
        </row>
        <row r="29">
          <cell r="A29">
            <v>2015</v>
          </cell>
          <cell r="F29">
            <v>190.6</v>
          </cell>
          <cell r="G29">
            <v>139.5</v>
          </cell>
        </row>
        <row r="30">
          <cell r="A30">
            <v>2016</v>
          </cell>
          <cell r="F30">
            <v>186.7</v>
          </cell>
          <cell r="G30">
            <v>145.9</v>
          </cell>
        </row>
        <row r="31">
          <cell r="A31">
            <v>2017</v>
          </cell>
          <cell r="F31">
            <v>183.4</v>
          </cell>
          <cell r="G31">
            <v>142.9</v>
          </cell>
        </row>
        <row r="32">
          <cell r="A32">
            <v>2018</v>
          </cell>
          <cell r="F32">
            <v>192.96874</v>
          </cell>
          <cell r="G32">
            <v>152.33866</v>
          </cell>
        </row>
        <row r="33">
          <cell r="A33">
            <v>2019</v>
          </cell>
          <cell r="F33">
            <v>192.95964000000001</v>
          </cell>
          <cell r="G33">
            <v>159.09547000000001</v>
          </cell>
        </row>
        <row r="34">
          <cell r="A34">
            <v>2020</v>
          </cell>
          <cell r="F34">
            <v>194.37639999999999</v>
          </cell>
          <cell r="G34">
            <v>163.57810000000001</v>
          </cell>
        </row>
        <row r="35">
          <cell r="A35">
            <v>2021</v>
          </cell>
          <cell r="F35">
            <v>195.7936</v>
          </cell>
          <cell r="G35">
            <v>168.63</v>
          </cell>
        </row>
        <row r="36">
          <cell r="A36">
            <v>2022</v>
          </cell>
          <cell r="F36">
            <v>199.4709</v>
          </cell>
          <cell r="G36">
            <v>170.2278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Валовой сбор"/>
    </sheetNames>
    <sheetDataSet>
      <sheetData sheetId="0">
        <row r="3">
          <cell r="E3" t="str">
            <v>Картофель</v>
          </cell>
          <cell r="F3" t="str">
            <v>Овощи открытого и закрытого грунта грунта</v>
          </cell>
        </row>
        <row r="4">
          <cell r="A4">
            <v>1990</v>
          </cell>
          <cell r="E4">
            <v>2324.3000000000002</v>
          </cell>
          <cell r="F4">
            <v>1136.4000000000001</v>
          </cell>
        </row>
        <row r="5">
          <cell r="A5">
            <v>1991</v>
          </cell>
          <cell r="E5">
            <v>2143.1999999999998</v>
          </cell>
          <cell r="F5">
            <v>954.9</v>
          </cell>
        </row>
        <row r="6">
          <cell r="A6">
            <v>1992</v>
          </cell>
          <cell r="E6">
            <v>2569.6999999999998</v>
          </cell>
          <cell r="F6">
            <v>985.1</v>
          </cell>
        </row>
        <row r="7">
          <cell r="A7">
            <v>1993</v>
          </cell>
          <cell r="E7">
            <v>2296.3000000000002</v>
          </cell>
          <cell r="F7">
            <v>808</v>
          </cell>
        </row>
        <row r="8">
          <cell r="A8">
            <v>1994</v>
          </cell>
          <cell r="E8">
            <v>2040.2</v>
          </cell>
          <cell r="F8">
            <v>781.2</v>
          </cell>
        </row>
        <row r="9">
          <cell r="A9">
            <v>1995</v>
          </cell>
          <cell r="E9">
            <v>1719.7</v>
          </cell>
          <cell r="F9">
            <v>779.7</v>
          </cell>
        </row>
        <row r="10">
          <cell r="A10">
            <v>1996</v>
          </cell>
          <cell r="E10">
            <v>1656.5</v>
          </cell>
          <cell r="F10">
            <v>778</v>
          </cell>
        </row>
        <row r="11">
          <cell r="A11">
            <v>1997</v>
          </cell>
          <cell r="E11">
            <v>1472.2</v>
          </cell>
          <cell r="F11">
            <v>879.7</v>
          </cell>
        </row>
        <row r="12">
          <cell r="A12">
            <v>1998</v>
          </cell>
          <cell r="E12">
            <v>1262.9000000000001</v>
          </cell>
          <cell r="F12">
            <v>1079.2</v>
          </cell>
        </row>
        <row r="13">
          <cell r="A13">
            <v>1999</v>
          </cell>
          <cell r="E13">
            <v>1694.7</v>
          </cell>
          <cell r="F13">
            <v>1287.0999999999999</v>
          </cell>
        </row>
        <row r="14">
          <cell r="A14">
            <v>2000</v>
          </cell>
          <cell r="E14">
            <v>1692.6</v>
          </cell>
          <cell r="F14">
            <v>1543.6</v>
          </cell>
        </row>
        <row r="15">
          <cell r="A15">
            <v>2001</v>
          </cell>
          <cell r="E15">
            <v>2184.8000000000002</v>
          </cell>
          <cell r="F15">
            <v>1782</v>
          </cell>
        </row>
        <row r="16">
          <cell r="A16">
            <v>2002</v>
          </cell>
          <cell r="E16">
            <v>2268.8000000000002</v>
          </cell>
          <cell r="F16">
            <v>1857</v>
          </cell>
        </row>
        <row r="17">
          <cell r="A17">
            <v>2003</v>
          </cell>
          <cell r="E17">
            <v>2308.3000000000002</v>
          </cell>
          <cell r="F17">
            <v>1938.3</v>
          </cell>
        </row>
        <row r="18">
          <cell r="A18">
            <v>2004</v>
          </cell>
          <cell r="E18">
            <v>2260.6999999999998</v>
          </cell>
          <cell r="F18">
            <v>2059.3000000000002</v>
          </cell>
        </row>
        <row r="19">
          <cell r="A19">
            <v>2005</v>
          </cell>
          <cell r="E19">
            <v>2520.8000000000002</v>
          </cell>
          <cell r="F19">
            <v>2168.6999999999998</v>
          </cell>
        </row>
        <row r="20">
          <cell r="A20">
            <v>2006</v>
          </cell>
          <cell r="E20">
            <v>2361.6</v>
          </cell>
          <cell r="F20">
            <v>2059.1999999999998</v>
          </cell>
        </row>
        <row r="21">
          <cell r="A21">
            <v>2007</v>
          </cell>
          <cell r="E21">
            <v>2414.8000000000002</v>
          </cell>
          <cell r="F21">
            <v>2196.4</v>
          </cell>
        </row>
        <row r="22">
          <cell r="A22">
            <v>2008</v>
          </cell>
          <cell r="E22">
            <v>2354.4</v>
          </cell>
          <cell r="F22">
            <v>2280</v>
          </cell>
        </row>
        <row r="23">
          <cell r="A23">
            <v>2009</v>
          </cell>
          <cell r="E23">
            <v>2755.6</v>
          </cell>
          <cell r="F23">
            <v>2457.1999999999998</v>
          </cell>
        </row>
        <row r="24">
          <cell r="A24">
            <v>2010</v>
          </cell>
          <cell r="E24">
            <v>2554.6</v>
          </cell>
          <cell r="F24">
            <v>2576.9</v>
          </cell>
        </row>
        <row r="25">
          <cell r="A25">
            <v>2011</v>
          </cell>
          <cell r="E25">
            <v>3076.1</v>
          </cell>
          <cell r="F25">
            <v>2877.6999999999994</v>
          </cell>
        </row>
        <row r="26">
          <cell r="A26">
            <v>2012</v>
          </cell>
          <cell r="E26">
            <v>3126.4</v>
          </cell>
          <cell r="F26">
            <v>3061.5</v>
          </cell>
        </row>
        <row r="27">
          <cell r="A27">
            <v>2013</v>
          </cell>
          <cell r="E27">
            <v>3343.6</v>
          </cell>
          <cell r="F27">
            <v>3241.5000000000005</v>
          </cell>
        </row>
        <row r="28">
          <cell r="A28">
            <v>2014</v>
          </cell>
          <cell r="E28">
            <v>3410.5</v>
          </cell>
          <cell r="F28">
            <v>3469.9</v>
          </cell>
        </row>
        <row r="29">
          <cell r="A29">
            <v>2015</v>
          </cell>
          <cell r="E29">
            <v>3521</v>
          </cell>
          <cell r="F29">
            <v>3564.9</v>
          </cell>
        </row>
        <row r="30">
          <cell r="A30">
            <v>2016</v>
          </cell>
          <cell r="E30">
            <v>3545.7</v>
          </cell>
          <cell r="F30">
            <v>3795.2</v>
          </cell>
        </row>
        <row r="31">
          <cell r="A31">
            <v>2017</v>
          </cell>
          <cell r="E31">
            <v>3551.1</v>
          </cell>
          <cell r="F31">
            <v>3791.1</v>
          </cell>
        </row>
        <row r="32">
          <cell r="A32">
            <v>2018</v>
          </cell>
          <cell r="E32">
            <v>3806.9924270000001</v>
          </cell>
          <cell r="F32">
            <v>4081.9492240000004</v>
          </cell>
        </row>
        <row r="33">
          <cell r="A33">
            <v>2019</v>
          </cell>
          <cell r="E33">
            <v>3912.1027779999999</v>
          </cell>
          <cell r="F33">
            <v>4355.2346670000006</v>
          </cell>
        </row>
        <row r="34">
          <cell r="A34">
            <v>2020</v>
          </cell>
          <cell r="E34">
            <v>4006.7803899999999</v>
          </cell>
          <cell r="F34">
            <v>4590.9231</v>
          </cell>
        </row>
        <row r="35">
          <cell r="A35">
            <v>2021</v>
          </cell>
          <cell r="E35">
            <v>4031.5817000000002</v>
          </cell>
          <cell r="F35">
            <v>4768.5140200000005</v>
          </cell>
        </row>
        <row r="36">
          <cell r="A36">
            <v>2022</v>
          </cell>
          <cell r="E36">
            <v>4080.4727499999999</v>
          </cell>
          <cell r="F36">
            <v>4792.6249200000002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Урожайность"/>
    </sheetNames>
    <sheetDataSet>
      <sheetData sheetId="0">
        <row r="3">
          <cell r="E3" t="str">
            <v>Картофель</v>
          </cell>
          <cell r="F3" t="str">
            <v>Овощи открытого грунта</v>
          </cell>
        </row>
        <row r="4">
          <cell r="A4">
            <v>1990</v>
          </cell>
          <cell r="E4">
            <v>113</v>
          </cell>
          <cell r="F4">
            <v>154</v>
          </cell>
        </row>
        <row r="5">
          <cell r="A5">
            <v>1991</v>
          </cell>
          <cell r="E5">
            <v>99</v>
          </cell>
          <cell r="F5">
            <v>121</v>
          </cell>
        </row>
        <row r="6">
          <cell r="A6">
            <v>1992</v>
          </cell>
          <cell r="E6">
            <v>104</v>
          </cell>
          <cell r="F6">
            <v>114</v>
          </cell>
        </row>
        <row r="7">
          <cell r="A7">
            <v>1993</v>
          </cell>
          <cell r="E7">
            <v>94</v>
          </cell>
          <cell r="F7">
            <v>106</v>
          </cell>
        </row>
        <row r="8">
          <cell r="A8">
            <v>1994</v>
          </cell>
          <cell r="E8">
            <v>94</v>
          </cell>
          <cell r="F8">
            <v>104</v>
          </cell>
        </row>
        <row r="9">
          <cell r="A9">
            <v>1995</v>
          </cell>
          <cell r="E9">
            <v>84</v>
          </cell>
          <cell r="F9">
            <v>101</v>
          </cell>
        </row>
        <row r="10">
          <cell r="A10">
            <v>1996</v>
          </cell>
          <cell r="E10">
            <v>88</v>
          </cell>
          <cell r="F10">
            <v>96</v>
          </cell>
        </row>
        <row r="11">
          <cell r="A11">
            <v>1997</v>
          </cell>
          <cell r="E11">
            <v>84</v>
          </cell>
          <cell r="F11">
            <v>101</v>
          </cell>
        </row>
        <row r="12">
          <cell r="A12">
            <v>1998</v>
          </cell>
          <cell r="E12">
            <v>77</v>
          </cell>
          <cell r="F12">
            <v>114</v>
          </cell>
        </row>
        <row r="13">
          <cell r="A13">
            <v>1999</v>
          </cell>
          <cell r="E13">
            <v>108</v>
          </cell>
          <cell r="F13">
            <v>134</v>
          </cell>
        </row>
        <row r="14">
          <cell r="A14">
            <v>2000</v>
          </cell>
          <cell r="E14">
            <v>106</v>
          </cell>
          <cell r="F14">
            <v>153</v>
          </cell>
        </row>
        <row r="15">
          <cell r="A15">
            <v>2001</v>
          </cell>
          <cell r="E15">
            <v>133</v>
          </cell>
          <cell r="F15">
            <v>166</v>
          </cell>
        </row>
        <row r="16">
          <cell r="A16">
            <v>2002</v>
          </cell>
          <cell r="E16">
            <v>139</v>
          </cell>
          <cell r="F16">
            <v>172</v>
          </cell>
        </row>
        <row r="17">
          <cell r="A17">
            <v>2003</v>
          </cell>
          <cell r="E17">
            <v>139</v>
          </cell>
          <cell r="F17">
            <v>177</v>
          </cell>
        </row>
        <row r="18">
          <cell r="A18">
            <v>2004</v>
          </cell>
          <cell r="E18">
            <v>134</v>
          </cell>
          <cell r="F18">
            <v>186</v>
          </cell>
        </row>
        <row r="19">
          <cell r="A19">
            <v>2005</v>
          </cell>
          <cell r="E19">
            <v>150</v>
          </cell>
          <cell r="F19">
            <v>196</v>
          </cell>
        </row>
        <row r="20">
          <cell r="A20">
            <v>2006</v>
          </cell>
          <cell r="E20">
            <v>153.6</v>
          </cell>
          <cell r="F20">
            <v>201</v>
          </cell>
        </row>
        <row r="21">
          <cell r="A21">
            <v>2007</v>
          </cell>
          <cell r="E21">
            <v>155.80000000000001</v>
          </cell>
          <cell r="F21">
            <v>211</v>
          </cell>
        </row>
        <row r="22">
          <cell r="A22">
            <v>2008</v>
          </cell>
          <cell r="E22">
            <v>143.69999999999999</v>
          </cell>
          <cell r="F22">
            <v>204</v>
          </cell>
        </row>
        <row r="23">
          <cell r="A23">
            <v>2009</v>
          </cell>
          <cell r="E23">
            <v>160</v>
          </cell>
          <cell r="F23">
            <v>218.7</v>
          </cell>
        </row>
        <row r="24">
          <cell r="A24">
            <v>2010</v>
          </cell>
          <cell r="E24">
            <v>143</v>
          </cell>
          <cell r="F24">
            <v>214.4</v>
          </cell>
        </row>
        <row r="25">
          <cell r="A25">
            <v>2011</v>
          </cell>
          <cell r="E25">
            <v>167.2</v>
          </cell>
          <cell r="F25">
            <v>222.9</v>
          </cell>
        </row>
        <row r="26">
          <cell r="A26">
            <v>2012</v>
          </cell>
          <cell r="E26">
            <v>165.9</v>
          </cell>
          <cell r="F26">
            <v>234</v>
          </cell>
        </row>
        <row r="27">
          <cell r="A27">
            <v>2013</v>
          </cell>
          <cell r="E27">
            <v>181.5</v>
          </cell>
          <cell r="F27">
            <v>238.7</v>
          </cell>
        </row>
        <row r="28">
          <cell r="A28">
            <v>2014</v>
          </cell>
          <cell r="E28">
            <v>184.3</v>
          </cell>
          <cell r="F28">
            <v>243</v>
          </cell>
        </row>
        <row r="29">
          <cell r="A29">
            <v>2015</v>
          </cell>
          <cell r="E29">
            <v>185.5</v>
          </cell>
          <cell r="F29">
            <v>245.8</v>
          </cell>
        </row>
        <row r="30">
          <cell r="A30">
            <v>2016</v>
          </cell>
          <cell r="E30">
            <v>190.4</v>
          </cell>
          <cell r="F30">
            <v>250</v>
          </cell>
        </row>
        <row r="31">
          <cell r="A31">
            <v>2017</v>
          </cell>
          <cell r="E31">
            <v>194.2</v>
          </cell>
          <cell r="F31">
            <v>253.7</v>
          </cell>
        </row>
        <row r="32">
          <cell r="A32">
            <v>2018</v>
          </cell>
          <cell r="E32">
            <v>197.9451</v>
          </cell>
          <cell r="F32">
            <v>257.3245</v>
          </cell>
        </row>
        <row r="33">
          <cell r="A33">
            <v>2019</v>
          </cell>
          <cell r="E33">
            <v>203.40809999999999</v>
          </cell>
          <cell r="F33">
            <v>260.54689999999999</v>
          </cell>
        </row>
        <row r="34">
          <cell r="A34">
            <v>2020</v>
          </cell>
          <cell r="E34">
            <v>206.7</v>
          </cell>
          <cell r="F34">
            <v>265.89999999999998</v>
          </cell>
        </row>
        <row r="35">
          <cell r="A35">
            <v>2021</v>
          </cell>
          <cell r="E35">
            <v>207.4</v>
          </cell>
          <cell r="F35">
            <v>268</v>
          </cell>
        </row>
        <row r="36">
          <cell r="A36">
            <v>2022</v>
          </cell>
          <cell r="E36">
            <v>205.4</v>
          </cell>
          <cell r="F36">
            <v>271.3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opLeftCell="A21" zoomScaleNormal="100" workbookViewId="0">
      <selection activeCell="B35" sqref="B35"/>
    </sheetView>
  </sheetViews>
  <sheetFormatPr defaultColWidth="9.109375" defaultRowHeight="14.4"/>
  <cols>
    <col min="1" max="1" width="45.33203125" style="2" customWidth="1"/>
    <col min="2" max="2" width="9" bestFit="1" customWidth="1"/>
    <col min="3" max="3" width="6.88671875" bestFit="1" customWidth="1"/>
    <col min="4" max="4" width="10.88671875" bestFit="1" customWidth="1"/>
    <col min="5" max="17" width="6.88671875" bestFit="1" customWidth="1"/>
  </cols>
  <sheetData>
    <row r="1" spans="1:17">
      <c r="A1" s="107" t="s">
        <v>4</v>
      </c>
      <c r="B1" s="4">
        <v>2023</v>
      </c>
      <c r="C1" s="4">
        <f t="shared" ref="C1:Q1" si="0">B1+1</f>
        <v>2024</v>
      </c>
      <c r="D1" s="4">
        <f t="shared" si="0"/>
        <v>2025</v>
      </c>
      <c r="E1" s="4">
        <f t="shared" si="0"/>
        <v>2026</v>
      </c>
      <c r="F1" s="4">
        <f t="shared" si="0"/>
        <v>2027</v>
      </c>
      <c r="G1" s="4">
        <f t="shared" si="0"/>
        <v>2028</v>
      </c>
      <c r="H1" s="4">
        <f t="shared" si="0"/>
        <v>2029</v>
      </c>
      <c r="I1" s="4">
        <f t="shared" si="0"/>
        <v>2030</v>
      </c>
      <c r="J1" s="4">
        <f t="shared" si="0"/>
        <v>2031</v>
      </c>
      <c r="K1" s="4">
        <f t="shared" si="0"/>
        <v>2032</v>
      </c>
      <c r="L1" s="4">
        <f t="shared" si="0"/>
        <v>2033</v>
      </c>
      <c r="M1" s="4">
        <f t="shared" si="0"/>
        <v>2034</v>
      </c>
      <c r="N1" s="4">
        <f t="shared" si="0"/>
        <v>2035</v>
      </c>
      <c r="O1" s="4">
        <f t="shared" si="0"/>
        <v>2036</v>
      </c>
      <c r="P1" s="4">
        <f t="shared" si="0"/>
        <v>2037</v>
      </c>
      <c r="Q1" s="4">
        <f t="shared" si="0"/>
        <v>2038</v>
      </c>
    </row>
    <row r="2" spans="1:17">
      <c r="A2" s="2" t="s">
        <v>96</v>
      </c>
      <c r="B2" s="35">
        <v>506.11</v>
      </c>
      <c r="C2" s="11">
        <f t="shared" ref="C2:Q2" si="1">B2*(1+B6-B7)</f>
        <v>540.58115210000005</v>
      </c>
      <c r="D2" s="11">
        <f t="shared" si="1"/>
        <v>568.18322572622617</v>
      </c>
      <c r="E2" s="11">
        <f t="shared" si="1"/>
        <v>590.86510009721724</v>
      </c>
      <c r="F2" s="11">
        <f t="shared" si="1"/>
        <v>612.26032537173739</v>
      </c>
      <c r="G2" s="11">
        <f t="shared" si="1"/>
        <v>634.601704644552</v>
      </c>
      <c r="H2" s="11">
        <f t="shared" si="1"/>
        <v>657.75832084703165</v>
      </c>
      <c r="I2" s="11">
        <f t="shared" si="1"/>
        <v>681.75992197473977</v>
      </c>
      <c r="J2" s="11">
        <f t="shared" si="1"/>
        <v>706.63734152759798</v>
      </c>
      <c r="K2" s="11">
        <f t="shared" si="1"/>
        <v>732.42253811993999</v>
      </c>
      <c r="L2" s="11">
        <f t="shared" si="1"/>
        <v>759.14863653593648</v>
      </c>
      <c r="M2" s="11">
        <f t="shared" si="1"/>
        <v>786.84997028313273</v>
      </c>
      <c r="N2" s="11">
        <f t="shared" si="1"/>
        <v>815.56212569876413</v>
      </c>
      <c r="O2" s="11">
        <f t="shared" si="1"/>
        <v>845.32198766551198</v>
      </c>
      <c r="P2" s="11">
        <f t="shared" si="1"/>
        <v>876.16778699542647</v>
      </c>
      <c r="Q2" s="11">
        <f t="shared" si="1"/>
        <v>908.13914954288953</v>
      </c>
    </row>
    <row r="3" spans="1:17">
      <c r="A3" s="2" t="s">
        <v>115</v>
      </c>
      <c r="B3" s="35">
        <v>473.22</v>
      </c>
      <c r="C3" s="11">
        <f>B3*(1+B6-B8)</f>
        <v>516.43918259999998</v>
      </c>
      <c r="D3" s="11">
        <f t="shared" ref="D3:L3" si="2">C3*(1+C6-C8)</f>
        <v>543.43345867450205</v>
      </c>
      <c r="E3" s="11">
        <f t="shared" si="2"/>
        <v>564.36108116805713</v>
      </c>
      <c r="F3" s="11">
        <f t="shared" si="2"/>
        <v>583.10915628446003</v>
      </c>
      <c r="G3" s="11">
        <f t="shared" si="2"/>
        <v>602.43339372372702</v>
      </c>
      <c r="H3" s="11">
        <f t="shared" si="2"/>
        <v>622.39803639173135</v>
      </c>
      <c r="I3" s="11">
        <f t="shared" si="2"/>
        <v>643.02430731775326</v>
      </c>
      <c r="J3" s="11">
        <f t="shared" si="2"/>
        <v>664.33413286226357</v>
      </c>
      <c r="K3" s="11">
        <f t="shared" si="2"/>
        <v>686.35016602531891</v>
      </c>
      <c r="L3" s="11">
        <f t="shared" si="2"/>
        <v>709.09581052739793</v>
      </c>
      <c r="M3" s="11">
        <f>L3*(1+L6-L8)</f>
        <v>732.5952456882759</v>
      </c>
      <c r="N3" s="11">
        <f>M3*(1+M6-M8)</f>
        <v>756.87345213038532</v>
      </c>
      <c r="O3" s="11">
        <f>N3*(1+N6-N8)</f>
        <v>781.95623833398622</v>
      </c>
      <c r="P3" s="11">
        <f>O3*(1+O6-O8)</f>
        <v>807.87026807237453</v>
      </c>
      <c r="Q3" s="11">
        <f>P3*(1+P6-P8)</f>
        <v>834.64308875629297</v>
      </c>
    </row>
    <row r="4" spans="1:17">
      <c r="A4" s="2" t="s">
        <v>126</v>
      </c>
      <c r="B4" s="35">
        <f>B2/B3</f>
        <v>1.0695025569502556</v>
      </c>
      <c r="C4" s="11">
        <f>B4*(1+B8-B7)</f>
        <v>1.0446687075778709</v>
      </c>
      <c r="D4" s="11">
        <f t="shared" ref="D4:L4" si="3">C4*(1+C8-C7)</f>
        <v>1.0434046584417018</v>
      </c>
      <c r="E4" s="11">
        <f t="shared" si="3"/>
        <v>1.0448758590101048</v>
      </c>
      <c r="F4" s="11">
        <f t="shared" si="3"/>
        <v>1.0480000378285448</v>
      </c>
      <c r="G4" s="11">
        <f t="shared" si="3"/>
        <v>1.0515108379552704</v>
      </c>
      <c r="H4" s="11">
        <f t="shared" si="3"/>
        <v>1.0550333992624206</v>
      </c>
      <c r="I4" s="11">
        <f t="shared" si="3"/>
        <v>1.0585677611499495</v>
      </c>
      <c r="J4" s="11">
        <f t="shared" si="3"/>
        <v>1.0621139631498018</v>
      </c>
      <c r="K4" s="11">
        <f t="shared" si="3"/>
        <v>1.0656720449263535</v>
      </c>
      <c r="L4" s="11">
        <f t="shared" si="3"/>
        <v>1.0692420462768568</v>
      </c>
      <c r="M4" s="11">
        <f>L4*(1+L8-L7)</f>
        <v>1.0728240071318842</v>
      </c>
      <c r="N4" s="11">
        <f>M4*(1+M8-M7)</f>
        <v>1.0764179675557759</v>
      </c>
      <c r="O4" s="11">
        <f>N4*(1+N8-N7)</f>
        <v>1.0800239677470878</v>
      </c>
      <c r="P4" s="11">
        <f>O4*(1+O8-O7)</f>
        <v>1.0836420480390405</v>
      </c>
      <c r="Q4" s="11">
        <f>P4*(1+P8-P7)</f>
        <v>1.0872722488999713</v>
      </c>
    </row>
    <row r="5" spans="1:17">
      <c r="A5" t="s">
        <v>5</v>
      </c>
      <c r="B5" s="75">
        <v>4.3860000000000003E-2</v>
      </c>
      <c r="C5" s="75">
        <v>4.5109999999999997E-2</v>
      </c>
      <c r="D5" s="75">
        <v>3.4389999999999997E-2</v>
      </c>
      <c r="E5" s="75">
        <v>2.6960000000000001E-2</v>
      </c>
      <c r="F5" s="75">
        <v>2.6960000000000001E-2</v>
      </c>
      <c r="G5" s="75">
        <v>2.6960000000000001E-2</v>
      </c>
      <c r="H5" s="75">
        <v>2.6960000000000001E-2</v>
      </c>
      <c r="I5" s="75">
        <v>2.6960000000000001E-2</v>
      </c>
      <c r="J5" s="75">
        <v>2.6960000000000001E-2</v>
      </c>
      <c r="K5" s="75">
        <v>2.6960000000000001E-2</v>
      </c>
      <c r="L5" s="75">
        <v>2.6960000000000001E-2</v>
      </c>
      <c r="M5" s="75">
        <v>2.6960000000000001E-2</v>
      </c>
      <c r="N5" s="75">
        <v>2.6960000000000001E-2</v>
      </c>
      <c r="O5" s="75">
        <v>2.6960000000000001E-2</v>
      </c>
      <c r="P5" s="75">
        <v>2.6960000000000001E-2</v>
      </c>
      <c r="Q5" s="75">
        <v>2.6960000000000001E-2</v>
      </c>
    </row>
    <row r="6" spans="1:17">
      <c r="A6" t="s">
        <v>6</v>
      </c>
      <c r="B6" s="75">
        <v>0.1128</v>
      </c>
      <c r="C6" s="75">
        <v>7.5219999999999995E-2</v>
      </c>
      <c r="D6" s="75">
        <v>6.0380000000000003E-2</v>
      </c>
      <c r="E6" s="75">
        <v>5.5E-2</v>
      </c>
      <c r="F6" s="75">
        <v>5.5E-2</v>
      </c>
      <c r="G6" s="75">
        <v>5.5E-2</v>
      </c>
      <c r="H6" s="75">
        <v>5.5E-2</v>
      </c>
      <c r="I6" s="75">
        <v>5.5E-2</v>
      </c>
      <c r="J6" s="75">
        <v>5.5E-2</v>
      </c>
      <c r="K6" s="75">
        <v>5.5E-2</v>
      </c>
      <c r="L6" s="75">
        <v>5.5E-2</v>
      </c>
      <c r="M6" s="75">
        <v>5.5E-2</v>
      </c>
      <c r="N6" s="75">
        <v>5.5E-2</v>
      </c>
      <c r="O6" s="75">
        <v>5.5E-2</v>
      </c>
      <c r="P6" s="75">
        <v>5.5E-2</v>
      </c>
      <c r="Q6" s="75">
        <v>5.5E-2</v>
      </c>
    </row>
    <row r="7" spans="1:17">
      <c r="A7" t="s">
        <v>97</v>
      </c>
      <c r="B7" s="75">
        <v>4.4690000000000001E-2</v>
      </c>
      <c r="C7" s="75">
        <v>2.4160000000000001E-2</v>
      </c>
      <c r="D7" s="75">
        <v>2.0459999999999999E-2</v>
      </c>
      <c r="E7" s="75">
        <v>1.8790000000000001E-2</v>
      </c>
      <c r="F7" s="75">
        <v>1.8509999999999999E-2</v>
      </c>
      <c r="G7" s="75">
        <f>F7</f>
        <v>1.8509999999999999E-2</v>
      </c>
      <c r="H7" s="75">
        <f>G7</f>
        <v>1.8509999999999999E-2</v>
      </c>
      <c r="I7" s="75">
        <f t="shared" ref="I7:L11" si="4">H7</f>
        <v>1.8509999999999999E-2</v>
      </c>
      <c r="J7" s="75">
        <f t="shared" si="4"/>
        <v>1.8509999999999999E-2</v>
      </c>
      <c r="K7" s="75">
        <f t="shared" si="4"/>
        <v>1.8509999999999999E-2</v>
      </c>
      <c r="L7" s="75">
        <f t="shared" si="4"/>
        <v>1.8509999999999999E-2</v>
      </c>
      <c r="M7" s="75">
        <f t="shared" ref="M7:Q11" si="5">L7</f>
        <v>1.8509999999999999E-2</v>
      </c>
      <c r="N7" s="75">
        <f t="shared" si="5"/>
        <v>1.8509999999999999E-2</v>
      </c>
      <c r="O7" s="75">
        <f t="shared" si="5"/>
        <v>1.8509999999999999E-2</v>
      </c>
      <c r="P7" s="75">
        <f t="shared" si="5"/>
        <v>1.8509999999999999E-2</v>
      </c>
      <c r="Q7" s="75">
        <f t="shared" si="5"/>
        <v>1.8509999999999999E-2</v>
      </c>
    </row>
    <row r="8" spans="1:17">
      <c r="A8" t="s">
        <v>116</v>
      </c>
      <c r="B8" s="102">
        <v>2.147E-2</v>
      </c>
      <c r="C8" s="102">
        <v>2.2950000000000002E-2</v>
      </c>
      <c r="D8" s="102">
        <v>2.1870000000000001E-2</v>
      </c>
      <c r="E8" s="102">
        <v>2.1780000000000001E-2</v>
      </c>
      <c r="F8" s="102">
        <v>2.1860000000000001E-2</v>
      </c>
      <c r="G8" s="102">
        <v>2.1860000000000001E-2</v>
      </c>
      <c r="H8" s="75">
        <f>G8</f>
        <v>2.1860000000000001E-2</v>
      </c>
      <c r="I8" s="75">
        <f t="shared" si="4"/>
        <v>2.1860000000000001E-2</v>
      </c>
      <c r="J8" s="75">
        <f t="shared" si="4"/>
        <v>2.1860000000000001E-2</v>
      </c>
      <c r="K8" s="75">
        <f t="shared" si="4"/>
        <v>2.1860000000000001E-2</v>
      </c>
      <c r="L8" s="75">
        <f t="shared" si="4"/>
        <v>2.1860000000000001E-2</v>
      </c>
      <c r="M8" s="75">
        <f t="shared" si="5"/>
        <v>2.1860000000000001E-2</v>
      </c>
      <c r="N8" s="75">
        <f t="shared" si="5"/>
        <v>2.1860000000000001E-2</v>
      </c>
      <c r="O8" s="75">
        <f t="shared" si="5"/>
        <v>2.1860000000000001E-2</v>
      </c>
      <c r="P8" s="75">
        <f t="shared" si="5"/>
        <v>2.1860000000000001E-2</v>
      </c>
      <c r="Q8" s="75">
        <f t="shared" si="5"/>
        <v>2.1860000000000001E-2</v>
      </c>
    </row>
    <row r="9" spans="1:17">
      <c r="A9" t="s">
        <v>94</v>
      </c>
      <c r="B9" s="3">
        <v>0.2</v>
      </c>
      <c r="C9" s="3">
        <f>B9</f>
        <v>0.2</v>
      </c>
      <c r="D9" s="3">
        <f t="shared" ref="D9:E11" si="6">C9</f>
        <v>0.2</v>
      </c>
      <c r="E9" s="3">
        <f t="shared" si="6"/>
        <v>0.2</v>
      </c>
      <c r="F9" s="3">
        <f t="shared" ref="F9:G11" si="7">E9</f>
        <v>0.2</v>
      </c>
      <c r="G9" s="3">
        <f t="shared" si="7"/>
        <v>0.2</v>
      </c>
      <c r="H9" s="3">
        <f>G9</f>
        <v>0.2</v>
      </c>
      <c r="I9" s="3">
        <f t="shared" si="4"/>
        <v>0.2</v>
      </c>
      <c r="J9" s="3">
        <f t="shared" si="4"/>
        <v>0.2</v>
      </c>
      <c r="K9" s="3">
        <f t="shared" si="4"/>
        <v>0.2</v>
      </c>
      <c r="L9" s="3">
        <f t="shared" si="4"/>
        <v>0.2</v>
      </c>
      <c r="M9" s="3">
        <f t="shared" si="5"/>
        <v>0.2</v>
      </c>
      <c r="N9" s="3">
        <f t="shared" si="5"/>
        <v>0.2</v>
      </c>
      <c r="O9" s="3">
        <f t="shared" si="5"/>
        <v>0.2</v>
      </c>
      <c r="P9" s="3">
        <f t="shared" si="5"/>
        <v>0.2</v>
      </c>
      <c r="Q9" s="3">
        <f t="shared" si="5"/>
        <v>0.2</v>
      </c>
    </row>
    <row r="10" spans="1:17">
      <c r="A10" t="s">
        <v>292</v>
      </c>
      <c r="B10" s="3">
        <v>0.12</v>
      </c>
      <c r="C10" s="3">
        <f>B10</f>
        <v>0.12</v>
      </c>
      <c r="D10" s="3">
        <f t="shared" si="6"/>
        <v>0.12</v>
      </c>
      <c r="E10" s="3">
        <f t="shared" si="6"/>
        <v>0.12</v>
      </c>
      <c r="F10" s="3">
        <f t="shared" si="7"/>
        <v>0.12</v>
      </c>
      <c r="G10" s="3">
        <f t="shared" si="7"/>
        <v>0.12</v>
      </c>
      <c r="H10" s="3">
        <f>G10</f>
        <v>0.12</v>
      </c>
      <c r="I10" s="3">
        <f t="shared" si="4"/>
        <v>0.12</v>
      </c>
      <c r="J10" s="3">
        <f t="shared" si="4"/>
        <v>0.12</v>
      </c>
      <c r="K10" s="3">
        <f t="shared" si="4"/>
        <v>0.12</v>
      </c>
      <c r="L10" s="3">
        <f t="shared" si="4"/>
        <v>0.12</v>
      </c>
      <c r="M10" s="3">
        <f t="shared" si="5"/>
        <v>0.12</v>
      </c>
      <c r="N10" s="3">
        <f t="shared" si="5"/>
        <v>0.12</v>
      </c>
      <c r="O10" s="3">
        <f t="shared" si="5"/>
        <v>0.12</v>
      </c>
      <c r="P10" s="3">
        <f t="shared" si="5"/>
        <v>0.12</v>
      </c>
      <c r="Q10" s="3">
        <f t="shared" si="5"/>
        <v>0.12</v>
      </c>
    </row>
    <row r="11" spans="1:17">
      <c r="A11" t="s">
        <v>7</v>
      </c>
      <c r="B11" s="3">
        <v>0.1</v>
      </c>
      <c r="C11" s="3">
        <f>B11</f>
        <v>0.1</v>
      </c>
      <c r="D11" s="3">
        <f t="shared" si="6"/>
        <v>0.1</v>
      </c>
      <c r="E11" s="3">
        <f t="shared" si="6"/>
        <v>0.1</v>
      </c>
      <c r="F11" s="3">
        <f t="shared" si="7"/>
        <v>0.1</v>
      </c>
      <c r="G11" s="3">
        <f t="shared" si="7"/>
        <v>0.1</v>
      </c>
      <c r="H11" s="3">
        <f>G11</f>
        <v>0.1</v>
      </c>
      <c r="I11" s="3">
        <f t="shared" si="4"/>
        <v>0.1</v>
      </c>
      <c r="J11" s="3">
        <f t="shared" si="4"/>
        <v>0.1</v>
      </c>
      <c r="K11" s="3">
        <f t="shared" si="4"/>
        <v>0.1</v>
      </c>
      <c r="L11" s="3">
        <f t="shared" si="4"/>
        <v>0.1</v>
      </c>
      <c r="M11" s="3">
        <f t="shared" si="5"/>
        <v>0.1</v>
      </c>
      <c r="N11" s="3">
        <f t="shared" si="5"/>
        <v>0.1</v>
      </c>
      <c r="O11" s="3">
        <f t="shared" si="5"/>
        <v>0.1</v>
      </c>
      <c r="P11" s="3">
        <f t="shared" si="5"/>
        <v>0.1</v>
      </c>
      <c r="Q11" s="3">
        <f t="shared" si="5"/>
        <v>0.1</v>
      </c>
    </row>
    <row r="12" spans="1:17">
      <c r="B12" s="3"/>
      <c r="C12" s="3"/>
      <c r="D12" s="3"/>
      <c r="E12" s="3"/>
    </row>
    <row r="13" spans="1:17">
      <c r="A13" s="163" t="s">
        <v>8</v>
      </c>
      <c r="B13" s="163"/>
      <c r="C13" s="3"/>
      <c r="D13" s="3"/>
      <c r="E13" s="3"/>
    </row>
    <row r="14" spans="1:17">
      <c r="A14" s="2" t="s">
        <v>358</v>
      </c>
      <c r="B14" s="12">
        <f>(4.37%+4.6%)/2</f>
        <v>4.4850000000000001E-2</v>
      </c>
      <c r="C14" s="3"/>
      <c r="D14" s="3"/>
      <c r="E14" s="3"/>
    </row>
    <row r="15" spans="1:17">
      <c r="A15" s="2" t="s">
        <v>348</v>
      </c>
      <c r="B15" s="12">
        <v>0.142788</v>
      </c>
      <c r="C15" s="3"/>
      <c r="D15" s="3"/>
      <c r="E15" s="3"/>
    </row>
    <row r="16" spans="1:17">
      <c r="A16" s="2" t="s">
        <v>9</v>
      </c>
      <c r="B16" s="12">
        <f>AVERAGE(B6:Q6)</f>
        <v>6.0212500000000023E-2</v>
      </c>
      <c r="C16" s="3"/>
      <c r="D16" s="3"/>
      <c r="E16" s="3"/>
    </row>
    <row r="17" spans="1:5">
      <c r="A17" s="2" t="s">
        <v>110</v>
      </c>
      <c r="B17" s="24">
        <v>1.1399999999999999</v>
      </c>
      <c r="C17" s="3"/>
      <c r="D17" s="3"/>
      <c r="E17" s="3"/>
    </row>
    <row r="18" spans="1:5">
      <c r="A18" s="2" t="s">
        <v>10</v>
      </c>
      <c r="B18" s="12">
        <f>9.23%+3.29%</f>
        <v>0.12520000000000001</v>
      </c>
      <c r="C18" s="3"/>
      <c r="D18" s="3"/>
      <c r="E18" s="3"/>
    </row>
    <row r="19" spans="1:5">
      <c r="A19" s="2" t="s">
        <v>11</v>
      </c>
      <c r="B19" s="25">
        <v>1.5</v>
      </c>
      <c r="C19" s="3"/>
      <c r="D19" s="3"/>
      <c r="E19" s="3"/>
    </row>
    <row r="20" spans="1:5" ht="14.4" customHeight="1">
      <c r="A20" s="2" t="s">
        <v>12</v>
      </c>
      <c r="B20" s="12">
        <f>B15+B17*(B18*B19-B15)</f>
        <v>0.19410168000000003</v>
      </c>
      <c r="C20" s="3"/>
      <c r="D20" s="3"/>
      <c r="E20" s="3"/>
    </row>
    <row r="21" spans="1:5">
      <c r="A21" s="2" t="s">
        <v>13</v>
      </c>
      <c r="B21" s="12">
        <v>0.06</v>
      </c>
      <c r="C21" s="3"/>
      <c r="D21" s="3"/>
      <c r="E21" s="3"/>
    </row>
    <row r="22" spans="1:5">
      <c r="A22" s="2" t="s">
        <v>14</v>
      </c>
      <c r="B22" s="47">
        <v>0</v>
      </c>
      <c r="C22" s="3"/>
      <c r="D22" s="3"/>
      <c r="E22" s="3"/>
    </row>
    <row r="23" spans="1:5">
      <c r="A23" s="2" t="s">
        <v>15</v>
      </c>
      <c r="B23" s="12">
        <f>B22/'CapEx и аморт.'!D26</f>
        <v>0</v>
      </c>
      <c r="C23" s="3"/>
      <c r="D23" s="3"/>
      <c r="E23" s="3"/>
    </row>
    <row r="24" spans="1:5">
      <c r="A24" s="2" t="s">
        <v>16</v>
      </c>
      <c r="B24" s="12">
        <f>100%-B23</f>
        <v>1</v>
      </c>
      <c r="C24" s="3"/>
      <c r="D24" s="3"/>
      <c r="E24" s="3"/>
    </row>
    <row r="25" spans="1:5">
      <c r="B25" s="12"/>
      <c r="C25" s="3"/>
      <c r="D25" s="3"/>
      <c r="E25" s="3"/>
    </row>
    <row r="26" spans="1:5">
      <c r="A26" s="15"/>
      <c r="B26" s="81" t="s">
        <v>17</v>
      </c>
      <c r="C26" s="82" t="s">
        <v>18</v>
      </c>
      <c r="D26" s="82" t="s">
        <v>19</v>
      </c>
      <c r="E26" s="3"/>
    </row>
    <row r="27" spans="1:5">
      <c r="A27" s="2" t="s">
        <v>20</v>
      </c>
      <c r="B27" s="12">
        <f>B20*B23+B21*B24*(1-B9)</f>
        <v>4.8000000000000001E-2</v>
      </c>
      <c r="C27" s="135">
        <v>0.7</v>
      </c>
      <c r="D27" s="12">
        <f>B27*C27</f>
        <v>3.3599999999999998E-2</v>
      </c>
      <c r="E27" s="3"/>
    </row>
    <row r="28" spans="1:5">
      <c r="A28" s="2" t="s">
        <v>21</v>
      </c>
      <c r="B28" s="12">
        <f>B14+B16+B18</f>
        <v>0.23026250000000004</v>
      </c>
      <c r="C28" s="135">
        <f>0.15</f>
        <v>0.15</v>
      </c>
      <c r="D28" s="12">
        <f>B28*C28</f>
        <v>3.4539375000000004E-2</v>
      </c>
      <c r="E28" s="3"/>
    </row>
    <row r="29" spans="1:5" ht="15.75" customHeight="1">
      <c r="A29" s="2" t="s">
        <v>22</v>
      </c>
      <c r="B29" s="12">
        <v>0.16500000000000001</v>
      </c>
      <c r="C29" s="135">
        <v>0.15</v>
      </c>
      <c r="D29" s="12">
        <f>B29*C29</f>
        <v>2.4750000000000001E-2</v>
      </c>
      <c r="E29" s="3"/>
    </row>
    <row r="30" spans="1:5">
      <c r="A30" s="163" t="s">
        <v>23</v>
      </c>
      <c r="B30" s="163"/>
      <c r="C30" s="163"/>
      <c r="D30" s="26">
        <f>SUM(D27:D29)</f>
        <v>9.2889374999999996E-2</v>
      </c>
      <c r="E30" s="3"/>
    </row>
    <row r="31" spans="1:5">
      <c r="B31" s="12"/>
      <c r="C31" s="3"/>
      <c r="D31" s="3"/>
      <c r="E31" s="3"/>
    </row>
    <row r="32" spans="1:5">
      <c r="A32" s="163" t="s">
        <v>98</v>
      </c>
      <c r="B32" s="163"/>
      <c r="C32" s="31"/>
      <c r="D32" s="30"/>
      <c r="E32" s="3"/>
    </row>
    <row r="33" spans="1:5">
      <c r="A33" s="48" t="s">
        <v>201</v>
      </c>
      <c r="B33" s="137">
        <v>5.0000000000000001E-3</v>
      </c>
      <c r="C33" s="31"/>
      <c r="D33" s="30"/>
      <c r="E33" s="3"/>
    </row>
    <row r="34" spans="1:5">
      <c r="A34" s="48" t="s">
        <v>163</v>
      </c>
      <c r="B34" s="63">
        <v>0.5</v>
      </c>
      <c r="C34" s="31"/>
      <c r="D34" s="30"/>
      <c r="E34" s="3"/>
    </row>
    <row r="35" spans="1:5">
      <c r="A35" s="48" t="s">
        <v>164</v>
      </c>
      <c r="B35" s="63">
        <f>Цены!T21</f>
        <v>9.2739848850441661E-2</v>
      </c>
      <c r="C35" s="31"/>
      <c r="D35" s="30"/>
      <c r="E35" s="3"/>
    </row>
    <row r="36" spans="1:5">
      <c r="A36" s="48" t="s">
        <v>332</v>
      </c>
      <c r="B36" s="138">
        <f>21.82/B3</f>
        <v>4.6109631883690459E-2</v>
      </c>
      <c r="C36" s="31"/>
      <c r="D36" s="30"/>
      <c r="E36" s="3"/>
    </row>
    <row r="37" spans="1:5">
      <c r="A37" s="48" t="s">
        <v>336</v>
      </c>
      <c r="B37" s="139">
        <f>1000000/B3</f>
        <v>2113.1820295000211</v>
      </c>
      <c r="C37" s="31"/>
      <c r="D37" s="30"/>
      <c r="E37" s="3"/>
    </row>
    <row r="38" spans="1:5">
      <c r="A38" s="48" t="s">
        <v>337</v>
      </c>
      <c r="B38" s="139">
        <f>1000000/B3</f>
        <v>2113.1820295000211</v>
      </c>
      <c r="C38" s="31"/>
      <c r="D38" s="30"/>
      <c r="E38" s="3"/>
    </row>
    <row r="39" spans="1:5">
      <c r="A39" s="48" t="s">
        <v>338</v>
      </c>
      <c r="B39" s="139">
        <f>200000/B3</f>
        <v>422.63640590000421</v>
      </c>
      <c r="C39" s="31"/>
      <c r="D39" s="30"/>
      <c r="E39" s="3"/>
    </row>
    <row r="40" spans="1:5">
      <c r="B40" s="12"/>
      <c r="C40" s="3"/>
      <c r="D40" s="3"/>
      <c r="E40" s="3"/>
    </row>
    <row r="41" spans="1:5">
      <c r="A41" s="163" t="s">
        <v>99</v>
      </c>
      <c r="B41" s="163"/>
      <c r="C41" s="31"/>
      <c r="D41" s="30"/>
      <c r="E41" s="3"/>
    </row>
    <row r="42" spans="1:5">
      <c r="A42" s="48" t="s">
        <v>117</v>
      </c>
      <c r="B42" s="36">
        <f>SUM(B43:B46)</f>
        <v>40000</v>
      </c>
      <c r="C42" s="31"/>
      <c r="D42" s="83"/>
      <c r="E42" s="3"/>
    </row>
    <row r="43" spans="1:5">
      <c r="A43" s="103" t="s">
        <v>118</v>
      </c>
      <c r="B43" s="104">
        <f>30000*0.8</f>
        <v>24000</v>
      </c>
      <c r="C43" s="31"/>
      <c r="D43" s="30"/>
      <c r="E43" s="3"/>
    </row>
    <row r="44" spans="1:5">
      <c r="A44" s="103" t="s">
        <v>119</v>
      </c>
      <c r="B44" s="104">
        <f>8000*0.8</f>
        <v>6400</v>
      </c>
      <c r="C44" s="31"/>
      <c r="D44" s="30"/>
      <c r="E44" s="3"/>
    </row>
    <row r="45" spans="1:5">
      <c r="A45" s="103" t="s">
        <v>120</v>
      </c>
      <c r="B45" s="104">
        <f>8000*0.8</f>
        <v>6400</v>
      </c>
      <c r="C45" s="52"/>
      <c r="D45" s="52"/>
      <c r="E45" s="3"/>
    </row>
    <row r="46" spans="1:5">
      <c r="A46" s="77" t="s">
        <v>121</v>
      </c>
      <c r="B46" s="104">
        <f>4000*0.8</f>
        <v>3200</v>
      </c>
    </row>
    <row r="47" spans="1:5">
      <c r="A47" s="48" t="s">
        <v>208</v>
      </c>
      <c r="B47" s="63">
        <v>0.02</v>
      </c>
      <c r="C47" s="31"/>
      <c r="D47" s="30"/>
      <c r="E47" s="3"/>
    </row>
    <row r="48" spans="1:5">
      <c r="A48" s="48" t="s">
        <v>297</v>
      </c>
      <c r="B48" s="36">
        <f>B64+B65</f>
        <v>21800</v>
      </c>
      <c r="C48" s="31"/>
      <c r="D48" s="30"/>
      <c r="E48" s="3"/>
    </row>
    <row r="49" spans="1:5">
      <c r="A49" s="48" t="s">
        <v>298</v>
      </c>
      <c r="B49" s="63">
        <v>0.9</v>
      </c>
      <c r="C49" s="31"/>
      <c r="D49" s="30"/>
      <c r="E49" s="3"/>
    </row>
    <row r="50" spans="1:5">
      <c r="A50" s="48" t="s">
        <v>333</v>
      </c>
      <c r="B50" s="139">
        <f>2500/B3</f>
        <v>5.2829550737500526</v>
      </c>
      <c r="C50" s="31"/>
      <c r="D50" s="30"/>
      <c r="E50" s="3"/>
    </row>
    <row r="51" spans="1:5">
      <c r="A51" s="48" t="s">
        <v>334</v>
      </c>
      <c r="B51" s="139">
        <f>B48*B49*B50</f>
        <v>103651.57854697603</v>
      </c>
      <c r="C51" s="31"/>
      <c r="D51" s="30"/>
      <c r="E51" s="3"/>
    </row>
    <row r="52" spans="1:5">
      <c r="A52" s="48" t="s">
        <v>300</v>
      </c>
      <c r="B52" s="139">
        <f>B66</f>
        <v>6260</v>
      </c>
      <c r="C52" s="31"/>
      <c r="D52" s="30"/>
      <c r="E52" s="3"/>
    </row>
    <row r="53" spans="1:5">
      <c r="A53" s="48" t="s">
        <v>298</v>
      </c>
      <c r="B53" s="63">
        <v>0.9</v>
      </c>
      <c r="C53" s="31"/>
      <c r="D53" s="30"/>
      <c r="E53" s="3"/>
    </row>
    <row r="54" spans="1:5">
      <c r="A54" s="48" t="s">
        <v>333</v>
      </c>
      <c r="B54" s="139">
        <f>2500/B3</f>
        <v>5.2829550737500526</v>
      </c>
      <c r="C54" s="31"/>
      <c r="D54" s="30"/>
      <c r="E54" s="3"/>
    </row>
    <row r="55" spans="1:5">
      <c r="A55" s="48" t="s">
        <v>335</v>
      </c>
      <c r="B55" s="139">
        <f>B52*B53*B54</f>
        <v>29764.168885507795</v>
      </c>
      <c r="C55" s="31"/>
      <c r="D55" s="30"/>
      <c r="E55" s="3"/>
    </row>
    <row r="56" spans="1:5">
      <c r="A56" s="48" t="s">
        <v>314</v>
      </c>
      <c r="B56" s="63">
        <v>0.4</v>
      </c>
      <c r="C56" s="31"/>
      <c r="D56" s="30"/>
      <c r="E56" s="3"/>
    </row>
    <row r="58" spans="1:5">
      <c r="A58" s="107" t="s">
        <v>260</v>
      </c>
      <c r="B58" s="91" t="s">
        <v>261</v>
      </c>
      <c r="C58" s="91" t="s">
        <v>262</v>
      </c>
      <c r="D58" s="91" t="s">
        <v>263</v>
      </c>
    </row>
    <row r="59" spans="1:5">
      <c r="A59" s="2" t="s">
        <v>259</v>
      </c>
      <c r="B59" s="52">
        <v>30910</v>
      </c>
      <c r="C59" s="52">
        <f>300000/B3</f>
        <v>633.95460885000625</v>
      </c>
      <c r="D59" s="140">
        <f>B59*C59</f>
        <v>19595536.959553692</v>
      </c>
    </row>
    <row r="60" spans="1:5">
      <c r="A60" s="2" t="s">
        <v>293</v>
      </c>
      <c r="B60" s="52">
        <v>3500</v>
      </c>
      <c r="C60" s="52">
        <f>300000/B3</f>
        <v>633.95460885000625</v>
      </c>
      <c r="D60" s="140">
        <f t="shared" ref="D60:D69" si="8">B60*C60</f>
        <v>2218841.130975022</v>
      </c>
    </row>
    <row r="61" spans="1:5">
      <c r="A61" s="2" t="s">
        <v>264</v>
      </c>
      <c r="B61" s="52">
        <v>600</v>
      </c>
      <c r="C61" s="52">
        <f>150000/B3</f>
        <v>316.97730442500313</v>
      </c>
      <c r="D61" s="140">
        <f t="shared" si="8"/>
        <v>190186.38265500189</v>
      </c>
    </row>
    <row r="62" spans="1:5">
      <c r="A62" s="2" t="s">
        <v>265</v>
      </c>
      <c r="B62" s="52">
        <v>300</v>
      </c>
      <c r="C62" s="52">
        <f>190000/B3</f>
        <v>401.50458560500397</v>
      </c>
      <c r="D62" s="140">
        <f t="shared" si="8"/>
        <v>120451.37568150119</v>
      </c>
    </row>
    <row r="63" spans="1:5">
      <c r="A63" s="2" t="s">
        <v>266</v>
      </c>
      <c r="B63" s="52">
        <v>37</v>
      </c>
      <c r="C63" s="52">
        <f>190000/B3</f>
        <v>401.50458560500397</v>
      </c>
      <c r="D63" s="140">
        <f t="shared" si="8"/>
        <v>14855.669667385147</v>
      </c>
    </row>
    <row r="64" spans="1:5">
      <c r="A64" s="2" t="s">
        <v>267</v>
      </c>
      <c r="B64" s="52">
        <v>15000</v>
      </c>
      <c r="C64" s="52">
        <f>300000/B3</f>
        <v>633.95460885000625</v>
      </c>
      <c r="D64" s="140">
        <f t="shared" si="8"/>
        <v>9509319.1327500939</v>
      </c>
    </row>
    <row r="65" spans="1:4">
      <c r="A65" s="2" t="s">
        <v>268</v>
      </c>
      <c r="B65" s="52">
        <v>6800</v>
      </c>
      <c r="C65" s="52">
        <f>300000/B3</f>
        <v>633.95460885000625</v>
      </c>
      <c r="D65" s="140">
        <f t="shared" si="8"/>
        <v>4310891.3401800422</v>
      </c>
    </row>
    <row r="66" spans="1:4">
      <c r="A66" s="2" t="s">
        <v>269</v>
      </c>
      <c r="B66" s="52">
        <v>6260</v>
      </c>
      <c r="C66" s="52">
        <f>20000/B3</f>
        <v>42.263640590000421</v>
      </c>
      <c r="D66" s="140">
        <f t="shared" si="8"/>
        <v>264570.39009340265</v>
      </c>
    </row>
    <row r="67" spans="1:4">
      <c r="A67" s="2" t="s">
        <v>270</v>
      </c>
      <c r="B67" s="52">
        <v>3400</v>
      </c>
      <c r="C67" s="52">
        <f>20000/B3</f>
        <v>42.263640590000421</v>
      </c>
      <c r="D67" s="140">
        <f t="shared" si="8"/>
        <v>143696.37800600144</v>
      </c>
    </row>
    <row r="68" spans="1:4">
      <c r="A68" s="2" t="s">
        <v>271</v>
      </c>
      <c r="B68" s="52">
        <v>620</v>
      </c>
      <c r="C68" s="52">
        <f>20000/B3</f>
        <v>42.263640590000421</v>
      </c>
      <c r="D68" s="140">
        <f t="shared" si="8"/>
        <v>26203.457165800261</v>
      </c>
    </row>
    <row r="69" spans="1:4">
      <c r="A69" s="2" t="s">
        <v>272</v>
      </c>
      <c r="B69" s="52">
        <v>12000</v>
      </c>
      <c r="C69" s="52">
        <f>20000/B3</f>
        <v>42.263640590000421</v>
      </c>
      <c r="D69" s="140">
        <f t="shared" si="8"/>
        <v>507163.68708000507</v>
      </c>
    </row>
    <row r="70" spans="1:4">
      <c r="A70" s="2" t="s">
        <v>273</v>
      </c>
      <c r="B70" s="52">
        <v>400</v>
      </c>
      <c r="C70" s="52"/>
      <c r="D70" s="140">
        <f>150000000/B3</f>
        <v>316977.30442500312</v>
      </c>
    </row>
    <row r="71" spans="1:4">
      <c r="A71" s="2" t="s">
        <v>276</v>
      </c>
      <c r="B71" s="52"/>
      <c r="C71" s="52"/>
      <c r="D71" s="140">
        <f>85000000/B3</f>
        <v>179620.47250750178</v>
      </c>
    </row>
    <row r="72" spans="1:4">
      <c r="A72" s="2" t="s">
        <v>274</v>
      </c>
      <c r="B72" s="52"/>
      <c r="C72" s="52"/>
      <c r="D72" s="140">
        <f>100000000/B3</f>
        <v>211318.2029500021</v>
      </c>
    </row>
    <row r="73" spans="1:4">
      <c r="A73" s="2" t="s">
        <v>275</v>
      </c>
      <c r="B73" s="52"/>
      <c r="C73" s="52"/>
      <c r="D73" s="140">
        <f>150000000/B3</f>
        <v>316977.30442500312</v>
      </c>
    </row>
    <row r="74" spans="1:4">
      <c r="A74" s="2" t="s">
        <v>295</v>
      </c>
      <c r="B74" s="52"/>
      <c r="C74" s="52"/>
      <c r="D74" s="140">
        <f>500000000/B3</f>
        <v>1056591.0147500106</v>
      </c>
    </row>
    <row r="75" spans="1:4">
      <c r="A75" s="2" t="s">
        <v>277</v>
      </c>
      <c r="D75" s="140">
        <f>1552370000/B3</f>
        <v>3280440.3871349478</v>
      </c>
    </row>
    <row r="76" spans="1:4">
      <c r="C76" s="125" t="s">
        <v>27</v>
      </c>
      <c r="D76" s="141">
        <f>SUM(D59:D75)</f>
        <v>42263640.590000406</v>
      </c>
    </row>
    <row r="78" spans="1:4">
      <c r="B78" s="52"/>
      <c r="D78" s="16"/>
    </row>
    <row r="79" spans="1:4">
      <c r="B79" s="52"/>
    </row>
    <row r="80" spans="1:4">
      <c r="B80" s="52"/>
    </row>
    <row r="81" spans="2:2">
      <c r="B81" s="52"/>
    </row>
  </sheetData>
  <mergeCells count="4">
    <mergeCell ref="A30:C30"/>
    <mergeCell ref="A32:B32"/>
    <mergeCell ref="A41:B41"/>
    <mergeCell ref="A13:B13"/>
  </mergeCells>
  <pageMargins left="0.7" right="0.7" top="0.75" bottom="0.75" header="0.3" footer="0.3"/>
  <pageSetup paperSize="9" scale="87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3"/>
  <sheetViews>
    <sheetView zoomScaleNormal="100" workbookViewId="0">
      <selection sqref="A1:Q22"/>
    </sheetView>
  </sheetViews>
  <sheetFormatPr defaultColWidth="9.109375" defaultRowHeight="14.4"/>
  <cols>
    <col min="1" max="1" width="49.5546875" bestFit="1" customWidth="1"/>
    <col min="2" max="2" width="11.88671875" bestFit="1" customWidth="1"/>
    <col min="3" max="3" width="11.5546875" bestFit="1" customWidth="1"/>
    <col min="4" max="4" width="10.88671875" bestFit="1" customWidth="1"/>
    <col min="5" max="11" width="11.5546875" bestFit="1" customWidth="1"/>
    <col min="12" max="14" width="10.88671875" bestFit="1" customWidth="1"/>
    <col min="15" max="17" width="11.88671875" bestFit="1" customWidth="1"/>
  </cols>
  <sheetData>
    <row r="1" spans="1:18" ht="18">
      <c r="A1" s="6" t="s">
        <v>52</v>
      </c>
    </row>
    <row r="2" spans="1:18">
      <c r="A2" s="1"/>
      <c r="B2" s="8"/>
      <c r="C2" s="8"/>
    </row>
    <row r="3" spans="1:18">
      <c r="A3" s="13" t="s">
        <v>53</v>
      </c>
      <c r="B3" s="14">
        <f>ОПиУ!B1</f>
        <v>2023</v>
      </c>
      <c r="C3" s="14">
        <f t="shared" ref="C3:Q3" si="0">B3+1</f>
        <v>2024</v>
      </c>
      <c r="D3" s="14">
        <f t="shared" si="0"/>
        <v>2025</v>
      </c>
      <c r="E3" s="14">
        <f t="shared" si="0"/>
        <v>2026</v>
      </c>
      <c r="F3" s="14">
        <f t="shared" si="0"/>
        <v>2027</v>
      </c>
      <c r="G3" s="14">
        <f t="shared" si="0"/>
        <v>2028</v>
      </c>
      <c r="H3" s="14">
        <f t="shared" si="0"/>
        <v>2029</v>
      </c>
      <c r="I3" s="14">
        <f t="shared" si="0"/>
        <v>2030</v>
      </c>
      <c r="J3" s="14">
        <f t="shared" si="0"/>
        <v>2031</v>
      </c>
      <c r="K3" s="14">
        <f t="shared" si="0"/>
        <v>2032</v>
      </c>
      <c r="L3" s="14">
        <f t="shared" si="0"/>
        <v>2033</v>
      </c>
      <c r="M3" s="14">
        <f t="shared" si="0"/>
        <v>2034</v>
      </c>
      <c r="N3" s="14">
        <f t="shared" si="0"/>
        <v>2035</v>
      </c>
      <c r="O3" s="14">
        <f t="shared" si="0"/>
        <v>2036</v>
      </c>
      <c r="P3" s="14">
        <f t="shared" si="0"/>
        <v>2037</v>
      </c>
      <c r="Q3" s="14">
        <f t="shared" si="0"/>
        <v>2038</v>
      </c>
      <c r="R3" s="14"/>
    </row>
    <row r="4" spans="1:18">
      <c r="A4" s="1" t="s">
        <v>54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>
      <c r="A5" s="2" t="s">
        <v>55</v>
      </c>
      <c r="B5" s="32">
        <f>ОПиУ!B37</f>
        <v>-2989722.0810616626</v>
      </c>
      <c r="C5" s="32">
        <f>ОПиУ!C37</f>
        <v>-8789125.7310788315</v>
      </c>
      <c r="D5" s="32">
        <f>ОПиУ!D37</f>
        <v>33410144.69832008</v>
      </c>
      <c r="E5" s="32">
        <f>ОПиУ!E37</f>
        <v>1323848.1031083153</v>
      </c>
      <c r="F5" s="32">
        <f>ОПиУ!F37</f>
        <v>-1452757.322065942</v>
      </c>
      <c r="G5" s="32">
        <f>ОПиУ!G37</f>
        <v>-561274.94745757733</v>
      </c>
      <c r="H5" s="32">
        <f>ОПиУ!H37</f>
        <v>-1456889.3532019393</v>
      </c>
      <c r="I5" s="32">
        <f>ОПиУ!I37</f>
        <v>4207575.8349879785</v>
      </c>
      <c r="J5" s="32">
        <f>ОПиУ!J37</f>
        <v>8756343.2176740505</v>
      </c>
      <c r="K5" s="32">
        <f>ОПиУ!K37</f>
        <v>9730782.5034589842</v>
      </c>
      <c r="L5" s="32">
        <f>ОПиУ!L37</f>
        <v>10758816.501208656</v>
      </c>
      <c r="M5" s="32">
        <f>ОПиУ!M37</f>
        <v>19460370.21394629</v>
      </c>
      <c r="N5" s="32">
        <f>ОПиУ!N37</f>
        <v>18446166.019662801</v>
      </c>
      <c r="O5" s="32">
        <f>ОПиУ!O37</f>
        <v>19369010.334052786</v>
      </c>
      <c r="P5" s="32">
        <f>ОПиУ!P37</f>
        <v>20342611.555188667</v>
      </c>
      <c r="Q5" s="32">
        <f>ОПиУ!Q37</f>
        <v>21369761.291097578</v>
      </c>
      <c r="R5" s="7"/>
    </row>
    <row r="6" spans="1:18">
      <c r="A6" s="2" t="s">
        <v>32</v>
      </c>
      <c r="B6" s="32">
        <f>-ОПиУ!B34</f>
        <v>3737152.6013270784</v>
      </c>
      <c r="C6" s="32">
        <f>-ОПиУ!C34</f>
        <v>6229187.1243818942</v>
      </c>
      <c r="D6" s="32">
        <f>-ОПиУ!D34</f>
        <v>9121221.6474367101</v>
      </c>
      <c r="E6" s="32">
        <f>-ОПиУ!E34</f>
        <v>9521221.6474367101</v>
      </c>
      <c r="F6" s="32">
        <f>-ОПиУ!F34</f>
        <v>9521221.6474367101</v>
      </c>
      <c r="G6" s="32">
        <f>-ОПиУ!G34</f>
        <v>9521221.6474367101</v>
      </c>
      <c r="H6" s="32">
        <f>-ОПиУ!H34</f>
        <v>9521221.6474367101</v>
      </c>
      <c r="I6" s="32">
        <f>-ОПиУ!I34</f>
        <v>9521221.6474367101</v>
      </c>
      <c r="J6" s="32">
        <f>-ОПиУ!J34</f>
        <v>9521221.6474367101</v>
      </c>
      <c r="K6" s="32">
        <f>-ОПиУ!K34</f>
        <v>9521221.6474367101</v>
      </c>
      <c r="L6" s="32">
        <f>-ОПиУ!L34</f>
        <v>9521221.6474367101</v>
      </c>
      <c r="M6" s="32">
        <f>-ОПиУ!M34</f>
        <v>0</v>
      </c>
      <c r="N6" s="32">
        <f>-ОПиУ!N34</f>
        <v>0</v>
      </c>
      <c r="O6" s="32">
        <f>-ОПиУ!O34</f>
        <v>0</v>
      </c>
      <c r="P6" s="32">
        <f>-ОПиУ!P34</f>
        <v>0</v>
      </c>
      <c r="Q6" s="32">
        <f>-ОПиУ!Q34</f>
        <v>0</v>
      </c>
      <c r="R6" s="7"/>
    </row>
    <row r="7" spans="1:18">
      <c r="A7" s="1" t="s">
        <v>56</v>
      </c>
      <c r="B7" s="159">
        <f t="shared" ref="B7:Q7" si="1">SUM(B5:B6)</f>
        <v>747430.52026541578</v>
      </c>
      <c r="C7" s="159">
        <f t="shared" si="1"/>
        <v>-2559938.6066969372</v>
      </c>
      <c r="D7" s="159">
        <f t="shared" si="1"/>
        <v>42531366.345756792</v>
      </c>
      <c r="E7" s="159">
        <f t="shared" si="1"/>
        <v>10845069.750545025</v>
      </c>
      <c r="F7" s="159">
        <f t="shared" si="1"/>
        <v>8068464.3253707681</v>
      </c>
      <c r="G7" s="159">
        <f t="shared" si="1"/>
        <v>8959946.699979132</v>
      </c>
      <c r="H7" s="159">
        <f t="shared" si="1"/>
        <v>8064332.2942347713</v>
      </c>
      <c r="I7" s="159">
        <f t="shared" si="1"/>
        <v>13728797.482424688</v>
      </c>
      <c r="J7" s="159">
        <f t="shared" si="1"/>
        <v>18277564.865110762</v>
      </c>
      <c r="K7" s="159">
        <f t="shared" si="1"/>
        <v>19252004.150895692</v>
      </c>
      <c r="L7" s="159">
        <f t="shared" si="1"/>
        <v>20280038.148645364</v>
      </c>
      <c r="M7" s="159">
        <f t="shared" si="1"/>
        <v>19460370.21394629</v>
      </c>
      <c r="N7" s="159">
        <f t="shared" si="1"/>
        <v>18446166.019662801</v>
      </c>
      <c r="O7" s="159">
        <f t="shared" si="1"/>
        <v>19369010.334052786</v>
      </c>
      <c r="P7" s="159">
        <f t="shared" si="1"/>
        <v>20342611.555188667</v>
      </c>
      <c r="Q7" s="159">
        <f t="shared" si="1"/>
        <v>21369761.291097578</v>
      </c>
      <c r="R7" s="9"/>
    </row>
    <row r="8" spans="1:18">
      <c r="A8" s="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7"/>
    </row>
    <row r="9" spans="1:18">
      <c r="A9" s="1" t="s">
        <v>57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</row>
    <row r="10" spans="1:18">
      <c r="A10" s="2" t="s">
        <v>58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7"/>
    </row>
    <row r="11" spans="1:18">
      <c r="A11" s="2" t="s">
        <v>59</v>
      </c>
      <c r="B11" s="32">
        <f>-'CapEx и аморт.'!G26</f>
        <v>-37371526.01327078</v>
      </c>
      <c r="C11" s="32">
        <f>-'CapEx и аморт.'!H26</f>
        <v>-49840690.461096317</v>
      </c>
      <c r="D11" s="32">
        <f>-'CapEx и аморт.'!I26</f>
        <v>-8000000</v>
      </c>
      <c r="E11" s="32">
        <f>-'CapEx и аморт.'!J26</f>
        <v>0</v>
      </c>
      <c r="F11" s="32">
        <f>-'CapEx и аморт.'!K26</f>
        <v>0</v>
      </c>
      <c r="G11" s="32">
        <f>-'CapEx и аморт.'!L26</f>
        <v>0</v>
      </c>
      <c r="H11" s="32">
        <f>-'CapEx и аморт.'!M26</f>
        <v>0</v>
      </c>
      <c r="I11" s="32">
        <f>-'CapEx и аморт.'!N26</f>
        <v>0</v>
      </c>
      <c r="J11" s="32">
        <f>-'CapEx и аморт.'!O26</f>
        <v>0</v>
      </c>
      <c r="K11" s="32">
        <f>-'CapEx и аморт.'!P26</f>
        <v>0</v>
      </c>
      <c r="L11" s="32">
        <f>-'CapEx и аморт.'!Q26</f>
        <v>0</v>
      </c>
      <c r="M11" s="32">
        <f>-'CapEx и аморт.'!R26</f>
        <v>0</v>
      </c>
      <c r="N11" s="32">
        <f>-'CapEx и аморт.'!S26</f>
        <v>0</v>
      </c>
      <c r="O11" s="32">
        <f>-'CapEx и аморт.'!T26</f>
        <v>0</v>
      </c>
      <c r="P11" s="32">
        <f>-'CapEx и аморт.'!U26</f>
        <v>0</v>
      </c>
      <c r="Q11" s="32">
        <f>-'CapEx и аморт.'!V26</f>
        <v>0</v>
      </c>
      <c r="R11" s="7"/>
    </row>
    <row r="12" spans="1:18">
      <c r="A12" s="1" t="s">
        <v>60</v>
      </c>
      <c r="B12" s="159">
        <f t="shared" ref="B12:Q12" si="2">SUM(B10:B11)</f>
        <v>-37371526.01327078</v>
      </c>
      <c r="C12" s="159">
        <f t="shared" si="2"/>
        <v>-49840690.461096317</v>
      </c>
      <c r="D12" s="159">
        <f t="shared" si="2"/>
        <v>-8000000</v>
      </c>
      <c r="E12" s="159">
        <f t="shared" si="2"/>
        <v>0</v>
      </c>
      <c r="F12" s="159">
        <f t="shared" si="2"/>
        <v>0</v>
      </c>
      <c r="G12" s="159">
        <f t="shared" si="2"/>
        <v>0</v>
      </c>
      <c r="H12" s="159">
        <f t="shared" si="2"/>
        <v>0</v>
      </c>
      <c r="I12" s="159">
        <f t="shared" si="2"/>
        <v>0</v>
      </c>
      <c r="J12" s="159">
        <f t="shared" si="2"/>
        <v>0</v>
      </c>
      <c r="K12" s="159">
        <f t="shared" si="2"/>
        <v>0</v>
      </c>
      <c r="L12" s="159">
        <f t="shared" si="2"/>
        <v>0</v>
      </c>
      <c r="M12" s="159">
        <f t="shared" si="2"/>
        <v>0</v>
      </c>
      <c r="N12" s="159">
        <f t="shared" si="2"/>
        <v>0</v>
      </c>
      <c r="O12" s="159">
        <f t="shared" si="2"/>
        <v>0</v>
      </c>
      <c r="P12" s="159">
        <f t="shared" si="2"/>
        <v>0</v>
      </c>
      <c r="Q12" s="159">
        <f t="shared" si="2"/>
        <v>0</v>
      </c>
      <c r="R12" s="9"/>
    </row>
    <row r="13" spans="1:18">
      <c r="A13" s="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7"/>
    </row>
    <row r="14" spans="1:18">
      <c r="A14" s="1" t="s">
        <v>61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7"/>
    </row>
    <row r="15" spans="1:18">
      <c r="A15" s="2" t="s">
        <v>62</v>
      </c>
      <c r="B15" s="32">
        <f>Кредит!B11</f>
        <v>103575108.43441387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7"/>
    </row>
    <row r="16" spans="1:18">
      <c r="A16" s="2" t="s">
        <v>63</v>
      </c>
      <c r="B16" s="32">
        <f>-SUMIF(Кредит!$B$1:$DX$1,B3,Кредит!$B$5:$DX$5)</f>
        <v>0</v>
      </c>
      <c r="C16" s="32">
        <f>-SUMIF(Кредит!$B$1:$DX$1,C3,Кредит!$B$5:$DX$5)</f>
        <v>0</v>
      </c>
      <c r="D16" s="32">
        <f>-SUMIF(Кредит!$B$1:$DX$1,D3,Кредит!$B$5:$DX$5)</f>
        <v>0</v>
      </c>
      <c r="E16" s="32">
        <f>-SUMIF(Кредит!$B$1:$DX$1,E3,Кредит!$B$5:$DX$5)</f>
        <v>-15104703.313352022</v>
      </c>
      <c r="F16" s="32">
        <f>-SUMIF(Кредит!$B$1:$DX$1,F3,Кредит!$B$5:$DX$5)</f>
        <v>-25893777.108603459</v>
      </c>
      <c r="G16" s="32">
        <f>-SUMIF(Кредит!$B$1:$DX$1,G3,Кредит!$B$5:$DX$5)</f>
        <v>-25893777.108603459</v>
      </c>
      <c r="H16" s="32">
        <f>-SUMIF(Кредит!$B$1:$DX$1,H3,Кредит!$B$5:$DX$5)</f>
        <v>-25893777.108603459</v>
      </c>
      <c r="I16" s="32">
        <f>-SUMIF(Кредит!$B$1:$DX$1,I3,Кредит!$B$5:$DX$5)</f>
        <v>-10789073.795251444</v>
      </c>
      <c r="J16" s="32">
        <f>-SUMIF(Кредит!$B$1:$DX$1,J3,Кредит!$B$5:$DX$5)</f>
        <v>0</v>
      </c>
      <c r="K16" s="32">
        <f>-SUMIF(Кредит!$B$1:$DX$1,K3,Кредит!$B$5:$DX$5)</f>
        <v>0</v>
      </c>
      <c r="L16" s="32">
        <f>-SUMIF(Кредит!$B$1:$DX$1,L3,Кредит!$B$5:$DX$5)</f>
        <v>0</v>
      </c>
      <c r="M16" s="32">
        <f>-SUMIF(Кредит!$B$1:$DX$1,M3,Кредит!$B$5:$DX$5)</f>
        <v>0</v>
      </c>
      <c r="N16" s="32">
        <f>-SUMIF(Кредит!$B$1:$DX$1,N3,Кредит!$B$5:$DX$5)</f>
        <v>0</v>
      </c>
      <c r="O16" s="32">
        <f>-SUMIF(Кредит!$B$1:$DX$1,O3,Кредит!$B$5:$DX$5)</f>
        <v>0</v>
      </c>
      <c r="P16" s="32">
        <f>-SUMIF(Кредит!$B$1:$DX$1,P3,Кредит!$B$5:$DX$5)</f>
        <v>0</v>
      </c>
      <c r="Q16" s="32">
        <f>-SUMIF(Кредит!$B$1:$DX$1,Q3,Кредит!$B$5:$DX$5)</f>
        <v>0</v>
      </c>
      <c r="R16" s="7"/>
    </row>
    <row r="17" spans="1:18">
      <c r="A17" s="1" t="s">
        <v>64</v>
      </c>
      <c r="B17" s="159">
        <f t="shared" ref="B17:Q17" si="3">SUM(B15:B16)</f>
        <v>103575108.43441387</v>
      </c>
      <c r="C17" s="159">
        <f t="shared" si="3"/>
        <v>0</v>
      </c>
      <c r="D17" s="159">
        <f t="shared" si="3"/>
        <v>0</v>
      </c>
      <c r="E17" s="159">
        <f t="shared" si="3"/>
        <v>-15104703.313352022</v>
      </c>
      <c r="F17" s="159">
        <f t="shared" si="3"/>
        <v>-25893777.108603459</v>
      </c>
      <c r="G17" s="159">
        <f t="shared" si="3"/>
        <v>-25893777.108603459</v>
      </c>
      <c r="H17" s="159">
        <f t="shared" si="3"/>
        <v>-25893777.108603459</v>
      </c>
      <c r="I17" s="159">
        <f t="shared" si="3"/>
        <v>-10789073.795251444</v>
      </c>
      <c r="J17" s="159">
        <f t="shared" si="3"/>
        <v>0</v>
      </c>
      <c r="K17" s="159">
        <f t="shared" si="3"/>
        <v>0</v>
      </c>
      <c r="L17" s="159">
        <f t="shared" si="3"/>
        <v>0</v>
      </c>
      <c r="M17" s="159">
        <f t="shared" si="3"/>
        <v>0</v>
      </c>
      <c r="N17" s="159">
        <f t="shared" si="3"/>
        <v>0</v>
      </c>
      <c r="O17" s="159">
        <f t="shared" si="3"/>
        <v>0</v>
      </c>
      <c r="P17" s="159">
        <f t="shared" si="3"/>
        <v>0</v>
      </c>
      <c r="Q17" s="159">
        <f t="shared" si="3"/>
        <v>0</v>
      </c>
      <c r="R17" s="9"/>
    </row>
    <row r="18" spans="1:18">
      <c r="A18" s="1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9"/>
    </row>
    <row r="19" spans="1:18">
      <c r="A19" s="1" t="s">
        <v>65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9"/>
    </row>
    <row r="20" spans="1:18">
      <c r="A20" s="2" t="s">
        <v>66</v>
      </c>
      <c r="B20" s="32">
        <f>Предпосылки!B22</f>
        <v>0</v>
      </c>
      <c r="C20" s="32">
        <f t="shared" ref="C20:Q20" si="4">B22</f>
        <v>66951012.9414085</v>
      </c>
      <c r="D20" s="32">
        <f t="shared" si="4"/>
        <v>14550383.87361525</v>
      </c>
      <c r="E20" s="32">
        <f t="shared" si="4"/>
        <v>49081750.219372042</v>
      </c>
      <c r="F20" s="32">
        <f t="shared" si="4"/>
        <v>44822116.65656504</v>
      </c>
      <c r="G20" s="32">
        <f t="shared" si="4"/>
        <v>26996803.873332351</v>
      </c>
      <c r="H20" s="32">
        <f t="shared" si="4"/>
        <v>10062973.464708023</v>
      </c>
      <c r="I20" s="32">
        <f t="shared" si="4"/>
        <v>-7766471.3496606648</v>
      </c>
      <c r="J20" s="32">
        <f t="shared" si="4"/>
        <v>-4826747.6624874212</v>
      </c>
      <c r="K20" s="32">
        <f t="shared" si="4"/>
        <v>13450817.202623341</v>
      </c>
      <c r="L20" s="32">
        <f t="shared" si="4"/>
        <v>32702821.353519034</v>
      </c>
      <c r="M20" s="32">
        <f t="shared" si="4"/>
        <v>52982859.502164394</v>
      </c>
      <c r="N20" s="32">
        <f t="shared" si="4"/>
        <v>72443229.716110677</v>
      </c>
      <c r="O20" s="32">
        <f t="shared" si="4"/>
        <v>90889395.735773474</v>
      </c>
      <c r="P20" s="32">
        <f t="shared" si="4"/>
        <v>110258406.06982626</v>
      </c>
      <c r="Q20" s="32">
        <f t="shared" si="4"/>
        <v>130601017.62501493</v>
      </c>
      <c r="R20" s="7"/>
    </row>
    <row r="21" spans="1:18">
      <c r="A21" s="2" t="s">
        <v>67</v>
      </c>
      <c r="B21" s="32">
        <f t="shared" ref="B21:Q21" si="5">B7+B12+B17</f>
        <v>66951012.9414085</v>
      </c>
      <c r="C21" s="32">
        <f t="shared" si="5"/>
        <v>-52400629.06779325</v>
      </c>
      <c r="D21" s="32">
        <f t="shared" si="5"/>
        <v>34531366.345756792</v>
      </c>
      <c r="E21" s="32">
        <f t="shared" si="5"/>
        <v>-4259633.5628069974</v>
      </c>
      <c r="F21" s="32">
        <f t="shared" si="5"/>
        <v>-17825312.783232689</v>
      </c>
      <c r="G21" s="32">
        <f t="shared" si="5"/>
        <v>-16933830.408624329</v>
      </c>
      <c r="H21" s="32">
        <f t="shared" si="5"/>
        <v>-17829444.814368688</v>
      </c>
      <c r="I21" s="32">
        <f t="shared" si="5"/>
        <v>2939723.6871732436</v>
      </c>
      <c r="J21" s="32">
        <f t="shared" si="5"/>
        <v>18277564.865110762</v>
      </c>
      <c r="K21" s="32">
        <f t="shared" si="5"/>
        <v>19252004.150895692</v>
      </c>
      <c r="L21" s="32">
        <f t="shared" si="5"/>
        <v>20280038.148645364</v>
      </c>
      <c r="M21" s="32">
        <f t="shared" si="5"/>
        <v>19460370.21394629</v>
      </c>
      <c r="N21" s="32">
        <f t="shared" si="5"/>
        <v>18446166.019662801</v>
      </c>
      <c r="O21" s="32">
        <f t="shared" si="5"/>
        <v>19369010.334052786</v>
      </c>
      <c r="P21" s="32">
        <f t="shared" si="5"/>
        <v>20342611.555188667</v>
      </c>
      <c r="Q21" s="32">
        <f t="shared" si="5"/>
        <v>21369761.291097578</v>
      </c>
      <c r="R21" s="7"/>
    </row>
    <row r="22" spans="1:18">
      <c r="A22" s="1" t="s">
        <v>68</v>
      </c>
      <c r="B22" s="159">
        <f t="shared" ref="B22:Q22" si="6">SUM(B20:B21)</f>
        <v>66951012.9414085</v>
      </c>
      <c r="C22" s="159">
        <f t="shared" si="6"/>
        <v>14550383.87361525</v>
      </c>
      <c r="D22" s="159">
        <f t="shared" si="6"/>
        <v>49081750.219372042</v>
      </c>
      <c r="E22" s="159">
        <f t="shared" si="6"/>
        <v>44822116.65656504</v>
      </c>
      <c r="F22" s="159">
        <f t="shared" si="6"/>
        <v>26996803.873332351</v>
      </c>
      <c r="G22" s="159">
        <f t="shared" si="6"/>
        <v>10062973.464708023</v>
      </c>
      <c r="H22" s="159">
        <f t="shared" si="6"/>
        <v>-7766471.3496606648</v>
      </c>
      <c r="I22" s="159">
        <f t="shared" si="6"/>
        <v>-4826747.6624874212</v>
      </c>
      <c r="J22" s="159">
        <f t="shared" si="6"/>
        <v>13450817.202623341</v>
      </c>
      <c r="K22" s="159">
        <f t="shared" si="6"/>
        <v>32702821.353519034</v>
      </c>
      <c r="L22" s="159">
        <f t="shared" si="6"/>
        <v>52982859.502164394</v>
      </c>
      <c r="M22" s="159">
        <f t="shared" si="6"/>
        <v>72443229.716110677</v>
      </c>
      <c r="N22" s="159">
        <f t="shared" si="6"/>
        <v>90889395.735773474</v>
      </c>
      <c r="O22" s="159">
        <f t="shared" si="6"/>
        <v>110258406.06982626</v>
      </c>
      <c r="P22" s="159">
        <f t="shared" si="6"/>
        <v>130601017.62501493</v>
      </c>
      <c r="Q22" s="159">
        <f t="shared" si="6"/>
        <v>151970778.91611251</v>
      </c>
      <c r="R22" s="9"/>
    </row>
    <row r="23" spans="1:18">
      <c r="A23" s="1"/>
      <c r="B23" s="9"/>
      <c r="C23" s="9"/>
    </row>
  </sheetData>
  <conditionalFormatting sqref="B22:R22">
    <cfRule type="cellIs" dxfId="1" priority="3" operator="lessThan">
      <formula>0</formula>
    </cfRule>
    <cfRule type="cellIs" dxfId="0" priority="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3"/>
  <sheetViews>
    <sheetView tabSelected="1" topLeftCell="A5" zoomScale="85" zoomScaleNormal="85" workbookViewId="0">
      <selection activeCell="B29" sqref="B29"/>
    </sheetView>
  </sheetViews>
  <sheetFormatPr defaultColWidth="9.109375" defaultRowHeight="14.4"/>
  <cols>
    <col min="1" max="1" width="39.6640625" customWidth="1"/>
    <col min="2" max="3" width="12.77734375" bestFit="1" customWidth="1"/>
    <col min="4" max="14" width="12" bestFit="1" customWidth="1"/>
    <col min="15" max="17" width="12.44140625" bestFit="1" customWidth="1"/>
    <col min="18" max="18" width="12.33203125" customWidth="1"/>
    <col min="19" max="19" width="14.6640625" bestFit="1" customWidth="1"/>
    <col min="20" max="20" width="14.33203125" bestFit="1" customWidth="1"/>
    <col min="23" max="23" width="12.6640625" bestFit="1" customWidth="1"/>
  </cols>
  <sheetData>
    <row r="1" spans="1:27" ht="15.6">
      <c r="A1" s="133" t="s">
        <v>69</v>
      </c>
      <c r="B1" s="8">
        <v>0</v>
      </c>
      <c r="C1" s="8">
        <f t="shared" ref="C1:Q1" si="0">B1+1</f>
        <v>1</v>
      </c>
      <c r="D1" s="8">
        <f t="shared" si="0"/>
        <v>2</v>
      </c>
      <c r="E1" s="8">
        <f t="shared" si="0"/>
        <v>3</v>
      </c>
      <c r="F1" s="8">
        <f t="shared" si="0"/>
        <v>4</v>
      </c>
      <c r="G1" s="8">
        <f t="shared" si="0"/>
        <v>5</v>
      </c>
      <c r="H1" s="8">
        <f t="shared" si="0"/>
        <v>6</v>
      </c>
      <c r="I1" s="8">
        <f t="shared" si="0"/>
        <v>7</v>
      </c>
      <c r="J1" s="8">
        <f t="shared" si="0"/>
        <v>8</v>
      </c>
      <c r="K1" s="8">
        <f t="shared" si="0"/>
        <v>9</v>
      </c>
      <c r="L1" s="8">
        <f t="shared" si="0"/>
        <v>10</v>
      </c>
      <c r="M1" s="8">
        <f t="shared" si="0"/>
        <v>11</v>
      </c>
      <c r="N1" s="8">
        <f t="shared" si="0"/>
        <v>12</v>
      </c>
      <c r="O1" s="8">
        <f t="shared" si="0"/>
        <v>13</v>
      </c>
      <c r="P1" s="8">
        <f t="shared" si="0"/>
        <v>14</v>
      </c>
      <c r="Q1" s="8">
        <f t="shared" si="0"/>
        <v>15</v>
      </c>
      <c r="R1" s="174" t="s">
        <v>74</v>
      </c>
    </row>
    <row r="2" spans="1:27" ht="15.6">
      <c r="A2" s="10" t="s">
        <v>339</v>
      </c>
      <c r="B2" s="4">
        <f>ПДДС!B3</f>
        <v>2023</v>
      </c>
      <c r="C2" s="4">
        <f>ПДДС!C3</f>
        <v>2024</v>
      </c>
      <c r="D2" s="4">
        <f>ПДДС!D3</f>
        <v>2025</v>
      </c>
      <c r="E2" s="4">
        <f>ПДДС!E3</f>
        <v>2026</v>
      </c>
      <c r="F2" s="4">
        <f>ПДДС!F3</f>
        <v>2027</v>
      </c>
      <c r="G2" s="4">
        <f>ПДДС!G3</f>
        <v>2028</v>
      </c>
      <c r="H2" s="4">
        <f>ПДДС!H3</f>
        <v>2029</v>
      </c>
      <c r="I2" s="4">
        <f>ПДДС!I3</f>
        <v>2030</v>
      </c>
      <c r="J2" s="4">
        <f>ПДДС!J3</f>
        <v>2031</v>
      </c>
      <c r="K2" s="4">
        <f>ПДДС!K3</f>
        <v>2032</v>
      </c>
      <c r="L2" s="4">
        <f>ПДДС!L3</f>
        <v>2033</v>
      </c>
      <c r="M2" s="4">
        <f>ПДДС!M3</f>
        <v>2034</v>
      </c>
      <c r="N2" s="4">
        <f>ПДДС!N3</f>
        <v>2035</v>
      </c>
      <c r="O2" s="4">
        <f>ПДДС!O3</f>
        <v>2036</v>
      </c>
      <c r="P2" s="4">
        <f>ПДДС!P3</f>
        <v>2037</v>
      </c>
      <c r="Q2" s="4">
        <f>ПДДС!Q3</f>
        <v>2038</v>
      </c>
      <c r="R2" s="174"/>
    </row>
    <row r="3" spans="1:27">
      <c r="A3" t="str">
        <f>ОПиУ!A3</f>
        <v xml:space="preserve">ВЫРУЧКА </v>
      </c>
      <c r="B3" s="32">
        <f>ОПиУ!B3</f>
        <v>0</v>
      </c>
      <c r="C3" s="32">
        <f>ОПиУ!C3</f>
        <v>667078.73716241913</v>
      </c>
      <c r="D3" s="32">
        <f>ОПиУ!D3</f>
        <v>47448442.604654744</v>
      </c>
      <c r="E3" s="32">
        <f>ОПиУ!E3</f>
        <v>28205793.43073611</v>
      </c>
      <c r="F3" s="32">
        <f>ОПиУ!F3</f>
        <v>29767417.949071139</v>
      </c>
      <c r="G3" s="32">
        <f>ОПиУ!G3</f>
        <v>31404625.936270054</v>
      </c>
      <c r="H3" s="32">
        <f>ОПиУ!H3</f>
        <v>33131880.36276491</v>
      </c>
      <c r="I3" s="32">
        <f>ОПиУ!I3</f>
        <v>34954133.782716967</v>
      </c>
      <c r="J3" s="32">
        <f>ОПиУ!J3</f>
        <v>36876611.140766412</v>
      </c>
      <c r="K3" s="32">
        <f>ОПиУ!K3</f>
        <v>38904824.753508553</v>
      </c>
      <c r="L3" s="32">
        <f>ОПиУ!L3</f>
        <v>41044590.114951521</v>
      </c>
      <c r="M3" s="32">
        <f>ОПиУ!M3</f>
        <v>43302042.571273856</v>
      </c>
      <c r="N3" s="32">
        <f>ОПиУ!N3</f>
        <v>42644663.161255866</v>
      </c>
      <c r="O3" s="32">
        <f>ОПиУ!O3</f>
        <v>44756956.020353511</v>
      </c>
      <c r="P3" s="32">
        <f>ОПиУ!P3</f>
        <v>46985424.986701533</v>
      </c>
      <c r="Q3" s="32">
        <f>ОПиУ!Q3</f>
        <v>49336459.746198684</v>
      </c>
      <c r="R3" s="32"/>
    </row>
    <row r="4" spans="1:27">
      <c r="A4" t="str">
        <f>ОПиУ!A14</f>
        <v>СЕБЕСТОИМОСТЬ ПРОДУКЦИИ</v>
      </c>
      <c r="B4" s="32">
        <f>ОПиУ!B14</f>
        <v>0</v>
      </c>
      <c r="C4" s="32">
        <f>ОПиУ!C14</f>
        <v>-3668416.3813870926</v>
      </c>
      <c r="D4" s="32">
        <f>ОПиУ!D14</f>
        <v>-7930598.8757871594</v>
      </c>
      <c r="E4" s="32">
        <f>ОПиУ!E14</f>
        <v>-7125021.1990609821</v>
      </c>
      <c r="F4" s="32">
        <f>ОПиУ!F14</f>
        <v>-7516897.3650093358</v>
      </c>
      <c r="G4" s="32">
        <f>ОПиУ!G14</f>
        <v>-7930326.7200848479</v>
      </c>
      <c r="H4" s="32">
        <f>ОПиУ!H14</f>
        <v>-8366494.6896895142</v>
      </c>
      <c r="I4" s="32">
        <f>ОПиУ!I14</f>
        <v>-8826651.8976224363</v>
      </c>
      <c r="J4" s="32">
        <f>ОПиУ!J14</f>
        <v>-9312117.7519916724</v>
      </c>
      <c r="K4" s="32">
        <f>ОПиУ!K14</f>
        <v>-9824284.228351213</v>
      </c>
      <c r="L4" s="32">
        <f>ОПиУ!L14</f>
        <v>-10364619.860910529</v>
      </c>
      <c r="M4" s="32">
        <f>ОПиУ!M14</f>
        <v>-10934673.953260606</v>
      </c>
      <c r="N4" s="32">
        <f>ОПиУ!N14</f>
        <v>-11536081.020689938</v>
      </c>
      <c r="O4" s="32">
        <f>ОПиУ!O14</f>
        <v>-12170565.476827884</v>
      </c>
      <c r="P4" s="32">
        <f>ОПиУ!P14</f>
        <v>-12839946.578053419</v>
      </c>
      <c r="Q4" s="32">
        <f>ОПиУ!Q14</f>
        <v>-13546143.639846357</v>
      </c>
      <c r="R4" s="32"/>
    </row>
    <row r="5" spans="1:27">
      <c r="A5" t="str">
        <f>ОПиУ!A21</f>
        <v>ВАЛОВАЯ ПРИБЫЛЬ</v>
      </c>
      <c r="B5" s="32">
        <f>SUM(B3:B4)</f>
        <v>0</v>
      </c>
      <c r="C5" s="32">
        <f t="shared" ref="C5:L5" si="1">SUM(C3:C4)</f>
        <v>-3001337.6442246735</v>
      </c>
      <c r="D5" s="32">
        <f t="shared" si="1"/>
        <v>39517843.728867583</v>
      </c>
      <c r="E5" s="32">
        <f t="shared" si="1"/>
        <v>21080772.231675126</v>
      </c>
      <c r="F5" s="32">
        <f t="shared" si="1"/>
        <v>22250520.584061801</v>
      </c>
      <c r="G5" s="32">
        <f t="shared" si="1"/>
        <v>23474299.216185205</v>
      </c>
      <c r="H5" s="32">
        <f t="shared" si="1"/>
        <v>24765385.673075397</v>
      </c>
      <c r="I5" s="32">
        <f t="shared" si="1"/>
        <v>26127481.885094531</v>
      </c>
      <c r="J5" s="32">
        <f t="shared" si="1"/>
        <v>27564493.388774738</v>
      </c>
      <c r="K5" s="32">
        <f t="shared" si="1"/>
        <v>29080540.52515734</v>
      </c>
      <c r="L5" s="32">
        <f t="shared" si="1"/>
        <v>30679970.254040994</v>
      </c>
      <c r="M5" s="32">
        <f>SUM(M3:M4)</f>
        <v>32367368.618013248</v>
      </c>
      <c r="N5" s="32">
        <f>SUM(N3:N4)</f>
        <v>31108582.140565928</v>
      </c>
      <c r="O5" s="32">
        <f>SUM(O3:O4)</f>
        <v>32586390.543525629</v>
      </c>
      <c r="P5" s="32">
        <f>SUM(P3:P4)</f>
        <v>34145478.408648118</v>
      </c>
      <c r="Q5" s="32">
        <f>SUM(Q3:Q4)</f>
        <v>35790316.106352329</v>
      </c>
      <c r="R5" s="32"/>
    </row>
    <row r="6" spans="1:27">
      <c r="A6" t="str">
        <f>ОПиУ!A31</f>
        <v>ИТОГО ОПЕРАЦИОННЫЕ РАСХОДЫ</v>
      </c>
      <c r="B6" s="32">
        <f>ОПиУ!B31</f>
        <v>0</v>
      </c>
      <c r="C6" s="32">
        <f>ОПиУ!C31</f>
        <v>-1755882.3952419716</v>
      </c>
      <c r="D6" s="32">
        <f>ОПиУ!D31</f>
        <v>-3614922.7181880139</v>
      </c>
      <c r="E6" s="32">
        <f>ОПиУ!E31</f>
        <v>-3560765.0637451708</v>
      </c>
      <c r="F6" s="32">
        <f>ОПиУ!F31</f>
        <v>-3669859.2035940639</v>
      </c>
      <c r="G6" s="32">
        <f>ОПиУ!G31</f>
        <v>-3779284.8674570094</v>
      </c>
      <c r="H6" s="32">
        <f>ОПиУ!H31</f>
        <v>-6189889.3315276522</v>
      </c>
      <c r="I6" s="32">
        <f>ОПиУ!I31</f>
        <v>-6815379.4499172401</v>
      </c>
      <c r="J6" s="32">
        <f>ОПиУ!J31</f>
        <v>-7097842.7192454617</v>
      </c>
      <c r="K6" s="32">
        <f>ОПиУ!K31</f>
        <v>-7395840.7483968996</v>
      </c>
      <c r="L6" s="32">
        <f>ОПиУ!L31</f>
        <v>-7710227.9800934652</v>
      </c>
      <c r="M6" s="32">
        <f>ОПиУ!M31</f>
        <v>-8041905.8505803868</v>
      </c>
      <c r="N6" s="32">
        <f>ОПиУ!N31</f>
        <v>-8050874.6159874285</v>
      </c>
      <c r="O6" s="32">
        <f>ОПиУ!O31</f>
        <v>-8375127.625959645</v>
      </c>
      <c r="P6" s="32">
        <f>ОПиУ!P31</f>
        <v>-8717213.9646622837</v>
      </c>
      <c r="Q6" s="32">
        <f>ОПиУ!Q31</f>
        <v>-9078114.4924803562</v>
      </c>
      <c r="R6" s="32"/>
    </row>
    <row r="7" spans="1:27">
      <c r="A7" t="str">
        <f>ОПиУ!A34</f>
        <v>Амортизационные отчисления</v>
      </c>
      <c r="B7" s="32">
        <f>-ПДДС!B6</f>
        <v>-3737152.6013270784</v>
      </c>
      <c r="C7" s="32">
        <f>-ПДДС!C6</f>
        <v>-6229187.1243818942</v>
      </c>
      <c r="D7" s="32">
        <f>-ПДДС!D6</f>
        <v>-9121221.6474367101</v>
      </c>
      <c r="E7" s="32">
        <f>-ПДДС!E6</f>
        <v>-9521221.6474367101</v>
      </c>
      <c r="F7" s="32">
        <f>-ПДДС!F6</f>
        <v>-9521221.6474367101</v>
      </c>
      <c r="G7" s="32">
        <f>-ПДДС!G6</f>
        <v>-9521221.6474367101</v>
      </c>
      <c r="H7" s="32">
        <f>-ПДДС!H6</f>
        <v>-9521221.6474367101</v>
      </c>
      <c r="I7" s="32">
        <f>-ПДДС!I6</f>
        <v>-9521221.6474367101</v>
      </c>
      <c r="J7" s="32">
        <f>-ПДДС!J6</f>
        <v>-9521221.6474367101</v>
      </c>
      <c r="K7" s="32">
        <f>-ПДДС!K6</f>
        <v>-9521221.6474367101</v>
      </c>
      <c r="L7" s="32">
        <f>-ПДДС!L6</f>
        <v>-9521221.6474367101</v>
      </c>
      <c r="M7" s="32">
        <f>-ПДДС!M6</f>
        <v>0</v>
      </c>
      <c r="N7" s="32">
        <f>-ПДДС!N6</f>
        <v>0</v>
      </c>
      <c r="O7" s="32">
        <f>-ПДДС!O6</f>
        <v>0</v>
      </c>
      <c r="P7" s="32">
        <f>-ПДДС!P6</f>
        <v>0</v>
      </c>
      <c r="Q7" s="32">
        <f>-ПДДС!Q6</f>
        <v>0</v>
      </c>
      <c r="R7" s="32"/>
    </row>
    <row r="8" spans="1:27" ht="28.8">
      <c r="A8" s="2" t="str">
        <f>ОПиУ!A32</f>
        <v>Прибыль до вычета вознаграждения, амортизации и налога на прибыль</v>
      </c>
      <c r="B8" s="32">
        <f>ОПиУ!B35</f>
        <v>-3737152.6013270784</v>
      </c>
      <c r="C8" s="32">
        <f>ОПиУ!C35</f>
        <v>-10986407.16384854</v>
      </c>
      <c r="D8" s="32">
        <f>ОПиУ!D35</f>
        <v>41762680.872900099</v>
      </c>
      <c r="E8" s="32">
        <f>ОПиУ!E35</f>
        <v>1654810.128885394</v>
      </c>
      <c r="F8" s="32">
        <f>ОПиУ!F35</f>
        <v>-1815946.6525824275</v>
      </c>
      <c r="G8" s="32">
        <f>ОПиУ!G35</f>
        <v>-701593.68432197161</v>
      </c>
      <c r="H8" s="32">
        <f>ОПиУ!H35</f>
        <v>-1821111.691502424</v>
      </c>
      <c r="I8" s="32">
        <f>ОПиУ!I35</f>
        <v>5259469.7937349733</v>
      </c>
      <c r="J8" s="32">
        <f>ОПиУ!J35</f>
        <v>10945429.022092564</v>
      </c>
      <c r="K8" s="32">
        <f>ОПиУ!K35</f>
        <v>12163478.12932373</v>
      </c>
      <c r="L8" s="32">
        <f>ОПиУ!L35</f>
        <v>13448520.626510819</v>
      </c>
      <c r="M8" s="32">
        <f>ОПиУ!M35</f>
        <v>24325462.767432861</v>
      </c>
      <c r="N8" s="32">
        <f>ОПиУ!N35</f>
        <v>23057707.524578501</v>
      </c>
      <c r="O8" s="32">
        <f>ОПиУ!O35</f>
        <v>24211262.917565983</v>
      </c>
      <c r="P8" s="32">
        <f>ОПиУ!P35</f>
        <v>25428264.443985835</v>
      </c>
      <c r="Q8" s="32">
        <f>ОПиУ!Q35</f>
        <v>26712201.613871973</v>
      </c>
      <c r="R8" s="32"/>
    </row>
    <row r="9" spans="1:27">
      <c r="A9" t="str">
        <f>ОПиУ!A36</f>
        <v>Подоходный налог</v>
      </c>
      <c r="B9" s="32">
        <f>ОПиУ!B36</f>
        <v>747430.52026541578</v>
      </c>
      <c r="C9" s="32">
        <f>ОПиУ!C36</f>
        <v>2197281.4327697079</v>
      </c>
      <c r="D9" s="32">
        <f>ОПиУ!D36</f>
        <v>-8352536.1745800199</v>
      </c>
      <c r="E9" s="32">
        <f>ОПиУ!E36</f>
        <v>-330962.02577707882</v>
      </c>
      <c r="F9" s="32">
        <f>ОПиУ!F36</f>
        <v>363189.3305164855</v>
      </c>
      <c r="G9" s="32">
        <f>ОПиУ!G36</f>
        <v>140318.73686439433</v>
      </c>
      <c r="H9" s="32">
        <f>ОПиУ!H36</f>
        <v>364222.33830048481</v>
      </c>
      <c r="I9" s="32">
        <f>ОПиУ!I36</f>
        <v>-1051893.9587469946</v>
      </c>
      <c r="J9" s="32">
        <f>ОПиУ!J36</f>
        <v>-2189085.8044185131</v>
      </c>
      <c r="K9" s="32">
        <f>ОПиУ!K36</f>
        <v>-2432695.625864746</v>
      </c>
      <c r="L9" s="32">
        <f>ОПиУ!L36</f>
        <v>-2689704.1253021639</v>
      </c>
      <c r="M9" s="32">
        <f>ОПиУ!M36</f>
        <v>-4865092.5534865726</v>
      </c>
      <c r="N9" s="32">
        <f>ОПиУ!N36</f>
        <v>-4611541.5049157003</v>
      </c>
      <c r="O9" s="32">
        <f>ОПиУ!O36</f>
        <v>-4842252.5835131966</v>
      </c>
      <c r="P9" s="32">
        <f>ОПиУ!P36</f>
        <v>-5085652.8887971677</v>
      </c>
      <c r="Q9" s="32">
        <f>ОПиУ!Q36</f>
        <v>-5342440.3227743953</v>
      </c>
      <c r="R9" s="32"/>
    </row>
    <row r="10" spans="1:27">
      <c r="A10" t="str">
        <f>ОПиУ!A37</f>
        <v>ЧИСТАЯ ПРИБЫЛЬ</v>
      </c>
      <c r="B10" s="32">
        <f>ОПиУ!B37</f>
        <v>-2989722.0810616626</v>
      </c>
      <c r="C10" s="32">
        <f>ОПиУ!C37</f>
        <v>-8789125.7310788315</v>
      </c>
      <c r="D10" s="32">
        <f>ОПиУ!D37</f>
        <v>33410144.69832008</v>
      </c>
      <c r="E10" s="32">
        <f>ОПиУ!E37</f>
        <v>1323848.1031083153</v>
      </c>
      <c r="F10" s="32">
        <f>ОПиУ!F37</f>
        <v>-1452757.322065942</v>
      </c>
      <c r="G10" s="32">
        <f>ОПиУ!G37</f>
        <v>-561274.94745757733</v>
      </c>
      <c r="H10" s="32">
        <f>ОПиУ!H37</f>
        <v>-1456889.3532019393</v>
      </c>
      <c r="I10" s="32">
        <f>ОПиУ!I37</f>
        <v>4207575.8349879785</v>
      </c>
      <c r="J10" s="32">
        <f>ОПиУ!J37</f>
        <v>8756343.2176740505</v>
      </c>
      <c r="K10" s="32">
        <f>ОПиУ!K37</f>
        <v>9730782.5034589842</v>
      </c>
      <c r="L10" s="32">
        <f>ОПиУ!L37</f>
        <v>10758816.501208656</v>
      </c>
      <c r="M10" s="32">
        <f>ОПиУ!M37</f>
        <v>19460370.21394629</v>
      </c>
      <c r="N10" s="32">
        <f>ОПиУ!N37</f>
        <v>18446166.019662801</v>
      </c>
      <c r="O10" s="32">
        <f>ОПиУ!O37</f>
        <v>19369010.334052786</v>
      </c>
      <c r="P10" s="32">
        <f>ОПиУ!P37</f>
        <v>20342611.555188667</v>
      </c>
      <c r="Q10" s="32">
        <f>ОПиУ!Q37</f>
        <v>21369761.291097578</v>
      </c>
      <c r="R10" s="32"/>
    </row>
    <row r="11" spans="1:27" s="45" customFormat="1">
      <c r="A11" s="43" t="s">
        <v>1</v>
      </c>
      <c r="B11" s="160">
        <f>-B7</f>
        <v>3737152.6013270784</v>
      </c>
      <c r="C11" s="160">
        <f t="shared" ref="C11:L11" si="2">-C7</f>
        <v>6229187.1243818942</v>
      </c>
      <c r="D11" s="160">
        <f t="shared" si="2"/>
        <v>9121221.6474367101</v>
      </c>
      <c r="E11" s="160">
        <f t="shared" si="2"/>
        <v>9521221.6474367101</v>
      </c>
      <c r="F11" s="160">
        <f t="shared" si="2"/>
        <v>9521221.6474367101</v>
      </c>
      <c r="G11" s="160">
        <f t="shared" si="2"/>
        <v>9521221.6474367101</v>
      </c>
      <c r="H11" s="160">
        <f t="shared" si="2"/>
        <v>9521221.6474367101</v>
      </c>
      <c r="I11" s="160">
        <f t="shared" si="2"/>
        <v>9521221.6474367101</v>
      </c>
      <c r="J11" s="160">
        <f t="shared" si="2"/>
        <v>9521221.6474367101</v>
      </c>
      <c r="K11" s="160">
        <f t="shared" si="2"/>
        <v>9521221.6474367101</v>
      </c>
      <c r="L11" s="160">
        <f t="shared" si="2"/>
        <v>9521221.6474367101</v>
      </c>
      <c r="M11" s="160">
        <f>-M7</f>
        <v>0</v>
      </c>
      <c r="N11" s="160">
        <f>-N7</f>
        <v>0</v>
      </c>
      <c r="O11" s="160">
        <f>-O7</f>
        <v>0</v>
      </c>
      <c r="P11" s="160">
        <f>-P7</f>
        <v>0</v>
      </c>
      <c r="Q11" s="160">
        <f>-Q7</f>
        <v>0</v>
      </c>
      <c r="R11" s="160"/>
      <c r="S11" s="44"/>
      <c r="T11" s="44"/>
      <c r="U11" s="44"/>
      <c r="V11" s="44"/>
      <c r="W11" s="44"/>
      <c r="X11" s="44"/>
      <c r="Y11" s="44"/>
      <c r="Z11" s="44"/>
    </row>
    <row r="12" spans="1:27" s="45" customFormat="1">
      <c r="A12" s="43" t="s">
        <v>70</v>
      </c>
      <c r="B12" s="160">
        <f>ПДДС!B11</f>
        <v>-37371526.01327078</v>
      </c>
      <c r="C12" s="160">
        <f>ПДДС!C11</f>
        <v>-49840690.461096317</v>
      </c>
      <c r="D12" s="160">
        <f>ПДДС!D11</f>
        <v>-8000000</v>
      </c>
      <c r="E12" s="160">
        <f>ПДДС!E11</f>
        <v>0</v>
      </c>
      <c r="F12" s="160">
        <f>ПДДС!F11</f>
        <v>0</v>
      </c>
      <c r="G12" s="160">
        <f>ПДДС!G11</f>
        <v>0</v>
      </c>
      <c r="H12" s="160">
        <f>ПДДС!H11</f>
        <v>0</v>
      </c>
      <c r="I12" s="160">
        <f>ПДДС!I11</f>
        <v>0</v>
      </c>
      <c r="J12" s="160">
        <f>ПДДС!J11</f>
        <v>0</v>
      </c>
      <c r="K12" s="160">
        <f>ПДДС!K11</f>
        <v>0</v>
      </c>
      <c r="L12" s="160">
        <f>ПДДС!L11</f>
        <v>0</v>
      </c>
      <c r="M12" s="160">
        <f>ПДДС!M11</f>
        <v>0</v>
      </c>
      <c r="N12" s="160">
        <f>ПДДС!N11</f>
        <v>0</v>
      </c>
      <c r="O12" s="160">
        <f>ПДДС!O11</f>
        <v>0</v>
      </c>
      <c r="P12" s="160">
        <f>ПДДС!P11</f>
        <v>0</v>
      </c>
      <c r="Q12" s="160">
        <f>ПДДС!Q11</f>
        <v>0</v>
      </c>
      <c r="R12" s="160"/>
    </row>
    <row r="13" spans="1:27">
      <c r="A13" t="s">
        <v>2</v>
      </c>
      <c r="B13" s="32">
        <f t="shared" ref="B13:Q13" si="3">SUM(B10:B12)</f>
        <v>-36624095.493005365</v>
      </c>
      <c r="C13" s="32">
        <f t="shared" si="3"/>
        <v>-52400629.06779325</v>
      </c>
      <c r="D13" s="32">
        <f t="shared" si="3"/>
        <v>34531366.345756792</v>
      </c>
      <c r="E13" s="32">
        <f t="shared" si="3"/>
        <v>10845069.750545025</v>
      </c>
      <c r="F13" s="32">
        <f t="shared" si="3"/>
        <v>8068464.3253707681</v>
      </c>
      <c r="G13" s="32">
        <f t="shared" si="3"/>
        <v>8959946.699979132</v>
      </c>
      <c r="H13" s="32">
        <f t="shared" si="3"/>
        <v>8064332.2942347713</v>
      </c>
      <c r="I13" s="32">
        <f t="shared" si="3"/>
        <v>13728797.482424688</v>
      </c>
      <c r="J13" s="32">
        <f t="shared" si="3"/>
        <v>18277564.865110762</v>
      </c>
      <c r="K13" s="32">
        <f t="shared" si="3"/>
        <v>19252004.150895692</v>
      </c>
      <c r="L13" s="32">
        <f t="shared" si="3"/>
        <v>20280038.148645364</v>
      </c>
      <c r="M13" s="32">
        <f t="shared" si="3"/>
        <v>19460370.21394629</v>
      </c>
      <c r="N13" s="32">
        <f t="shared" si="3"/>
        <v>18446166.019662801</v>
      </c>
      <c r="O13" s="32">
        <f t="shared" si="3"/>
        <v>19369010.334052786</v>
      </c>
      <c r="P13" s="32">
        <f t="shared" si="3"/>
        <v>20342611.555188667</v>
      </c>
      <c r="Q13" s="32">
        <f t="shared" si="3"/>
        <v>21369761.291097578</v>
      </c>
      <c r="R13" s="32">
        <f>Q13*(1+E21)/(E20-E21)</f>
        <v>360185924.60386258</v>
      </c>
      <c r="S13" s="7"/>
      <c r="T13" s="7"/>
      <c r="U13" s="7"/>
      <c r="V13" s="7"/>
      <c r="W13" s="7"/>
      <c r="X13" s="7"/>
      <c r="Y13" s="7"/>
      <c r="Z13" s="7"/>
      <c r="AA13" s="7"/>
    </row>
    <row r="14" spans="1:27">
      <c r="A14" t="s">
        <v>71</v>
      </c>
      <c r="B14" s="32">
        <f t="shared" ref="B14:Q14" si="4">1/(1+$E$20)^B1</f>
        <v>1</v>
      </c>
      <c r="C14" s="32">
        <f t="shared" si="4"/>
        <v>0.91500569305104651</v>
      </c>
      <c r="D14" s="32">
        <f t="shared" si="4"/>
        <v>0.83723541831582593</v>
      </c>
      <c r="E14" s="32">
        <f t="shared" si="4"/>
        <v>0.76607517418295523</v>
      </c>
      <c r="F14" s="32">
        <f t="shared" si="4"/>
        <v>0.70096314568247609</v>
      </c>
      <c r="G14" s="32">
        <f t="shared" si="4"/>
        <v>0.64138526891843572</v>
      </c>
      <c r="H14" s="32">
        <f t="shared" si="4"/>
        <v>0.58687117249944509</v>
      </c>
      <c r="I14" s="32">
        <f t="shared" si="4"/>
        <v>0.53699046392453498</v>
      </c>
      <c r="J14" s="32">
        <f t="shared" si="4"/>
        <v>0.49134933160507216</v>
      </c>
      <c r="K14" s="32">
        <f t="shared" si="4"/>
        <v>0.44958743569546755</v>
      </c>
      <c r="L14" s="32">
        <f t="shared" si="4"/>
        <v>0.41137506318557404</v>
      </c>
      <c r="M14" s="32">
        <f t="shared" si="4"/>
        <v>0.37641052479403431</v>
      </c>
      <c r="N14" s="32">
        <f t="shared" si="4"/>
        <v>0.34441777311087346</v>
      </c>
      <c r="O14" s="32">
        <f t="shared" si="4"/>
        <v>0.31514422318441287</v>
      </c>
      <c r="P14" s="32">
        <f t="shared" si="4"/>
        <v>0.28835875834588737</v>
      </c>
      <c r="Q14" s="32">
        <f t="shared" si="4"/>
        <v>0.26384990552761795</v>
      </c>
      <c r="R14" s="32"/>
      <c r="S14" s="7"/>
      <c r="T14" s="7"/>
      <c r="U14" s="7"/>
      <c r="V14" s="7"/>
      <c r="W14" s="7"/>
      <c r="X14" s="7"/>
      <c r="Y14" s="7"/>
      <c r="Z14" s="7"/>
      <c r="AA14" s="7"/>
    </row>
    <row r="15" spans="1:27">
      <c r="A15" t="s">
        <v>72</v>
      </c>
      <c r="B15" s="32">
        <f t="shared" ref="B15:Q15" si="5">B13*B14</f>
        <v>-36624095.493005365</v>
      </c>
      <c r="C15" s="32">
        <f t="shared" si="5"/>
        <v>-47946873.916486979</v>
      </c>
      <c r="D15" s="32">
        <f t="shared" si="5"/>
        <v>28910882.947506722</v>
      </c>
      <c r="E15" s="32">
        <f t="shared" si="5"/>
        <v>8308138.6981750792</v>
      </c>
      <c r="F15" s="32">
        <f t="shared" si="5"/>
        <v>5655696.1343387309</v>
      </c>
      <c r="G15" s="32">
        <f t="shared" si="5"/>
        <v>5746777.823660966</v>
      </c>
      <c r="H15" s="32">
        <f t="shared" si="5"/>
        <v>4732724.1489427006</v>
      </c>
      <c r="I15" s="32">
        <f t="shared" si="5"/>
        <v>7372233.3292132206</v>
      </c>
      <c r="J15" s="32">
        <f t="shared" si="5"/>
        <v>8980669.2798405234</v>
      </c>
      <c r="K15" s="32">
        <f t="shared" si="5"/>
        <v>8655459.1781996917</v>
      </c>
      <c r="L15" s="32">
        <f t="shared" si="5"/>
        <v>8342701.9748048382</v>
      </c>
      <c r="M15" s="32">
        <f t="shared" si="5"/>
        <v>7325088.1649177168</v>
      </c>
      <c r="N15" s="32">
        <f t="shared" si="5"/>
        <v>6353187.4229257265</v>
      </c>
      <c r="O15" s="32">
        <f t="shared" si="5"/>
        <v>6104031.7155759307</v>
      </c>
      <c r="P15" s="32">
        <f t="shared" si="5"/>
        <v>5865970.2095669052</v>
      </c>
      <c r="Q15" s="32">
        <f t="shared" si="5"/>
        <v>5638409.4978038426</v>
      </c>
      <c r="R15" s="32"/>
      <c r="S15" s="7"/>
      <c r="T15" s="7"/>
      <c r="U15" s="7"/>
      <c r="V15" s="7"/>
      <c r="W15" s="7"/>
      <c r="X15" s="7"/>
      <c r="Y15" s="7"/>
      <c r="Z15" s="7"/>
      <c r="AA15" s="7"/>
    </row>
    <row r="16" spans="1:27">
      <c r="A16" t="s">
        <v>3</v>
      </c>
      <c r="B16" s="32">
        <f>B13</f>
        <v>-36624095.493005365</v>
      </c>
      <c r="C16" s="32">
        <f t="shared" ref="C16:Q16" si="6">B16+C13</f>
        <v>-89024724.560798615</v>
      </c>
      <c r="D16" s="32">
        <f t="shared" si="6"/>
        <v>-54493358.215041824</v>
      </c>
      <c r="E16" s="32">
        <f t="shared" si="6"/>
        <v>-43648288.464496799</v>
      </c>
      <c r="F16" s="32">
        <f t="shared" si="6"/>
        <v>-35579824.139126033</v>
      </c>
      <c r="G16" s="32">
        <f t="shared" si="6"/>
        <v>-26619877.439146899</v>
      </c>
      <c r="H16" s="32">
        <f t="shared" si="6"/>
        <v>-18555545.144912127</v>
      </c>
      <c r="I16" s="32">
        <f t="shared" si="6"/>
        <v>-4826747.6624874398</v>
      </c>
      <c r="J16" s="32">
        <f t="shared" si="6"/>
        <v>13450817.202623323</v>
      </c>
      <c r="K16" s="32">
        <f t="shared" si="6"/>
        <v>32702821.353519015</v>
      </c>
      <c r="L16" s="32">
        <f t="shared" si="6"/>
        <v>52982859.502164379</v>
      </c>
      <c r="M16" s="32">
        <f t="shared" si="6"/>
        <v>72443229.716110677</v>
      </c>
      <c r="N16" s="32">
        <f t="shared" si="6"/>
        <v>90889395.735773474</v>
      </c>
      <c r="O16" s="32">
        <f t="shared" si="6"/>
        <v>110258406.06982626</v>
      </c>
      <c r="P16" s="32">
        <f t="shared" si="6"/>
        <v>130601017.62501493</v>
      </c>
      <c r="Q16" s="32">
        <f t="shared" si="6"/>
        <v>151970778.91611251</v>
      </c>
      <c r="R16" s="32"/>
      <c r="S16" s="7"/>
      <c r="T16" s="7"/>
      <c r="U16" s="7"/>
      <c r="V16" s="7"/>
      <c r="W16" s="7"/>
      <c r="X16" s="7"/>
      <c r="Y16" s="7"/>
      <c r="Z16" s="7"/>
      <c r="AA16" s="7"/>
    </row>
    <row r="17" spans="1:29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7"/>
      <c r="T17" s="7"/>
      <c r="U17" s="7"/>
      <c r="V17" s="7"/>
      <c r="W17" s="7"/>
      <c r="X17" s="7"/>
      <c r="Y17" s="7"/>
      <c r="Z17" s="7"/>
      <c r="AA17" s="7"/>
    </row>
    <row r="18" spans="1:29">
      <c r="A18" t="s">
        <v>73</v>
      </c>
      <c r="B18" s="32">
        <f t="shared" ref="B18:Q18" si="7">B13/(1+$E$20)^B1</f>
        <v>-36624095.493005365</v>
      </c>
      <c r="C18" s="32">
        <f t="shared" si="7"/>
        <v>-47946873.916486979</v>
      </c>
      <c r="D18" s="32">
        <f t="shared" si="7"/>
        <v>28910882.947506722</v>
      </c>
      <c r="E18" s="32">
        <f t="shared" si="7"/>
        <v>8308138.6981750783</v>
      </c>
      <c r="F18" s="32">
        <f t="shared" si="7"/>
        <v>5655696.1343387309</v>
      </c>
      <c r="G18" s="32">
        <f t="shared" si="7"/>
        <v>5746777.823660966</v>
      </c>
      <c r="H18" s="32">
        <f t="shared" si="7"/>
        <v>4732724.1489427006</v>
      </c>
      <c r="I18" s="32">
        <f t="shared" si="7"/>
        <v>7372233.3292132216</v>
      </c>
      <c r="J18" s="32">
        <f t="shared" si="7"/>
        <v>8980669.2798405252</v>
      </c>
      <c r="K18" s="32">
        <f t="shared" si="7"/>
        <v>8655459.1781996917</v>
      </c>
      <c r="L18" s="32">
        <f t="shared" si="7"/>
        <v>8342701.9748048391</v>
      </c>
      <c r="M18" s="32">
        <f t="shared" si="7"/>
        <v>7325088.1649177168</v>
      </c>
      <c r="N18" s="32">
        <f t="shared" si="7"/>
        <v>6353187.4229257265</v>
      </c>
      <c r="O18" s="32">
        <f t="shared" si="7"/>
        <v>6104031.7155759297</v>
      </c>
      <c r="P18" s="32">
        <f t="shared" si="7"/>
        <v>5865970.2095669052</v>
      </c>
      <c r="Q18" s="32">
        <f t="shared" si="7"/>
        <v>5638409.4978038426</v>
      </c>
      <c r="R18" s="32"/>
      <c r="S18" s="7"/>
      <c r="T18" s="7"/>
      <c r="U18" s="7"/>
      <c r="V18" s="7"/>
      <c r="W18" s="7"/>
      <c r="X18" s="7"/>
      <c r="Y18" s="7"/>
      <c r="Z18" s="7"/>
      <c r="AA18" s="7"/>
    </row>
    <row r="19" spans="1:29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9">
      <c r="A20" t="s">
        <v>75</v>
      </c>
      <c r="B20" s="32">
        <f>NPV(E20,B13:Q13)</f>
        <v>30580406.288587302</v>
      </c>
      <c r="C20" s="173" t="s">
        <v>81</v>
      </c>
      <c r="D20" s="173"/>
      <c r="E20" s="17">
        <f>Предпосылки!D30</f>
        <v>9.2889374999999996E-2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9">
      <c r="A21" t="s">
        <v>76</v>
      </c>
      <c r="B21" s="32">
        <f>PV($E$20,Q1,0,R13)*-1</f>
        <v>95035022.179106846</v>
      </c>
      <c r="C21" s="172" t="s">
        <v>82</v>
      </c>
      <c r="D21" s="172"/>
      <c r="E21" s="18">
        <f>AVERAGE(Предпосылки!B5:J5)</f>
        <v>3.1680000000000007E-2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9">
      <c r="A22" s="5" t="s">
        <v>306</v>
      </c>
      <c r="B22" s="159">
        <f>SUM(B20:B21)</f>
        <v>125615428.46769415</v>
      </c>
      <c r="C22" s="95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9">
      <c r="A23" s="5" t="s">
        <v>77</v>
      </c>
      <c r="B23" s="40">
        <f>IRR(B13:Q13)</f>
        <v>0.15366644143731323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>
      <c r="A24" t="s">
        <v>78</v>
      </c>
      <c r="B24" s="162">
        <f>AVERAGE(B13:Q13)/'CapEx и аморт.'!D26</f>
        <v>2.1080666622039188E-4</v>
      </c>
      <c r="C24" s="41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>
      <c r="A25" t="s">
        <v>79</v>
      </c>
      <c r="B25" s="161">
        <f>B20/'CapEx и аморт.'!E26</f>
        <v>6.0599558747321299E-4</v>
      </c>
      <c r="C25" s="5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>
      <c r="A26" t="s">
        <v>0</v>
      </c>
      <c r="B26" s="42">
        <f>Q1-(B13+C13+D13+E13+F13+G13+H13+I13+J13+K13+L13+M13+N13+O13+P13+Q13)/Q13</f>
        <v>7.8885130326925097</v>
      </c>
      <c r="C26" s="54">
        <f>0.9*12</f>
        <v>10.8</v>
      </c>
      <c r="D26" s="4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>
      <c r="A27" t="s">
        <v>80</v>
      </c>
      <c r="B27" s="42">
        <f>Q1-(B15+C15+D15+E15+F15+G15+H15+I15+J15+K15+L15+M15+N15+O15+P15+Q15)/Q15</f>
        <v>9.0726190375144409</v>
      </c>
      <c r="C27" s="54">
        <f>0.1*12</f>
        <v>1.2000000000000002</v>
      </c>
      <c r="D27" s="41"/>
      <c r="E27" s="1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>
      <c r="B28" s="7"/>
      <c r="C28" s="5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>
      <c r="B29" s="12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29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</sheetData>
  <mergeCells count="3">
    <mergeCell ref="C21:D21"/>
    <mergeCell ref="C20:D20"/>
    <mergeCell ref="R1:R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5:I174"/>
  <sheetViews>
    <sheetView topLeftCell="A29" workbookViewId="0">
      <selection activeCell="O8" sqref="O8"/>
    </sheetView>
  </sheetViews>
  <sheetFormatPr defaultRowHeight="14.4"/>
  <cols>
    <col min="1" max="1" width="22.5546875" bestFit="1" customWidth="1"/>
    <col min="2" max="2" width="10.5546875" bestFit="1" customWidth="1"/>
    <col min="3" max="3" width="22.5546875" bestFit="1" customWidth="1"/>
    <col min="4" max="4" width="8.5546875" bestFit="1" customWidth="1"/>
    <col min="5" max="5" width="22.5546875" bestFit="1" customWidth="1"/>
    <col min="6" max="6" width="12.6640625" bestFit="1" customWidth="1"/>
    <col min="7" max="7" width="13.6640625" bestFit="1" customWidth="1"/>
    <col min="8" max="8" width="11.6640625" bestFit="1" customWidth="1"/>
    <col min="9" max="9" width="11" customWidth="1"/>
    <col min="10" max="10" width="13.6640625" customWidth="1"/>
    <col min="11" max="11" width="10.33203125" customWidth="1"/>
    <col min="12" max="12" width="10.5546875" customWidth="1"/>
  </cols>
  <sheetData>
    <row r="35" s="15" customFormat="1"/>
    <row r="36" s="15" customFormat="1"/>
    <row r="37" s="15" customFormat="1"/>
    <row r="38" s="15" customFormat="1"/>
    <row r="39" s="15" customFormat="1"/>
    <row r="40" s="15" customFormat="1"/>
    <row r="90" spans="2:9">
      <c r="C90" s="7"/>
      <c r="D90" s="7"/>
      <c r="E90" s="7"/>
      <c r="F90" s="7"/>
      <c r="G90" s="7"/>
      <c r="H90" s="7"/>
      <c r="I90" s="7"/>
    </row>
    <row r="91" spans="2:9">
      <c r="B91" s="7"/>
      <c r="C91" s="7"/>
      <c r="D91" s="7"/>
      <c r="E91" s="7"/>
      <c r="F91" s="7"/>
      <c r="G91" s="7"/>
      <c r="H91" s="7"/>
      <c r="I91" s="7"/>
    </row>
    <row r="92" spans="2:9">
      <c r="B92" s="7"/>
      <c r="C92" s="7"/>
      <c r="D92" s="7"/>
      <c r="E92" s="7"/>
      <c r="F92" s="7"/>
      <c r="G92" s="7"/>
      <c r="H92" s="7"/>
      <c r="I92" s="7"/>
    </row>
    <row r="93" spans="2:9">
      <c r="B93" s="7"/>
      <c r="C93" s="7"/>
      <c r="D93" s="7"/>
      <c r="E93" s="7"/>
      <c r="F93" s="7"/>
      <c r="G93" s="7"/>
      <c r="H93" s="7"/>
      <c r="I93" s="7"/>
    </row>
    <row r="94" spans="2:9">
      <c r="B94" s="7"/>
      <c r="C94" s="7"/>
      <c r="D94" s="7"/>
      <c r="E94" s="7"/>
      <c r="F94" s="7"/>
      <c r="G94" s="7"/>
      <c r="H94" s="7"/>
      <c r="I94" s="7"/>
    </row>
    <row r="95" spans="2:9">
      <c r="B95" s="7"/>
      <c r="C95" s="7"/>
      <c r="D95" s="7"/>
      <c r="E95" s="7"/>
      <c r="F95" s="7"/>
      <c r="G95" s="7"/>
      <c r="H95" s="7"/>
      <c r="I95" s="7"/>
    </row>
    <row r="96" spans="2:9">
      <c r="B96" s="7"/>
      <c r="C96" s="7"/>
      <c r="D96" s="7"/>
      <c r="E96" s="7"/>
      <c r="F96" s="7"/>
      <c r="G96" s="7"/>
      <c r="H96" s="7"/>
      <c r="I96" s="7"/>
    </row>
    <row r="97" spans="1:9">
      <c r="B97" s="7"/>
      <c r="C97" s="7"/>
      <c r="D97" s="7"/>
      <c r="E97" s="7"/>
      <c r="F97" s="7"/>
      <c r="G97" s="7"/>
      <c r="H97" s="7"/>
      <c r="I97" s="7"/>
    </row>
    <row r="112" spans="1:9">
      <c r="A112" s="175" t="s">
        <v>249</v>
      </c>
      <c r="B112" s="175"/>
      <c r="C112" s="175"/>
      <c r="D112" s="175"/>
    </row>
    <row r="113" spans="1:9">
      <c r="A113" s="91" t="s">
        <v>246</v>
      </c>
      <c r="B113" s="8" t="s">
        <v>248</v>
      </c>
      <c r="C113" s="91" t="s">
        <v>247</v>
      </c>
      <c r="D113" t="str">
        <f>B113</f>
        <v>Овощи</v>
      </c>
      <c r="E113" s="8" t="s">
        <v>250</v>
      </c>
      <c r="F113" t="s">
        <v>251</v>
      </c>
    </row>
    <row r="114" spans="1:9">
      <c r="A114" t="s">
        <v>225</v>
      </c>
      <c r="B114" s="42">
        <v>19.108000000000001</v>
      </c>
      <c r="C114" t="s">
        <v>225</v>
      </c>
      <c r="D114" s="7">
        <f t="shared" ref="D114:D134" si="0">B114*4</f>
        <v>76.432000000000002</v>
      </c>
      <c r="E114" s="7">
        <v>19634082</v>
      </c>
      <c r="F114" s="7">
        <f>E114*D114/1000</f>
        <v>1500672.155424</v>
      </c>
    </row>
    <row r="115" spans="1:9">
      <c r="A115" t="s">
        <v>226</v>
      </c>
      <c r="B115" s="42">
        <v>13.242000000000001</v>
      </c>
      <c r="C115" t="s">
        <v>226</v>
      </c>
      <c r="D115" s="7">
        <f t="shared" si="0"/>
        <v>52.968000000000004</v>
      </c>
      <c r="E115" s="7">
        <v>611039</v>
      </c>
      <c r="F115" s="7">
        <f t="shared" ref="F115:F134" si="1">E115*D115/1000</f>
        <v>32365.513751999999</v>
      </c>
      <c r="H115" t="s">
        <v>240</v>
      </c>
      <c r="I115" s="7">
        <v>199245.45919600001</v>
      </c>
    </row>
    <row r="116" spans="1:9">
      <c r="A116" t="s">
        <v>227</v>
      </c>
      <c r="B116" s="42">
        <v>15.795999999999999</v>
      </c>
      <c r="C116" t="s">
        <v>227</v>
      </c>
      <c r="D116" s="7">
        <f t="shared" si="0"/>
        <v>63.183999999999997</v>
      </c>
      <c r="E116" s="7">
        <v>786840</v>
      </c>
      <c r="F116" s="7">
        <f t="shared" si="1"/>
        <v>49715.698559999997</v>
      </c>
      <c r="H116" t="s">
        <v>244</v>
      </c>
      <c r="I116" s="7">
        <v>181526.20440000002</v>
      </c>
    </row>
    <row r="117" spans="1:9">
      <c r="A117" t="s">
        <v>228</v>
      </c>
      <c r="B117" s="42">
        <v>15.022</v>
      </c>
      <c r="C117" t="s">
        <v>228</v>
      </c>
      <c r="D117" s="7">
        <f t="shared" si="0"/>
        <v>60.088000000000001</v>
      </c>
      <c r="E117" s="7">
        <v>922468</v>
      </c>
      <c r="F117" s="7">
        <f t="shared" si="1"/>
        <v>55429.257184000002</v>
      </c>
      <c r="H117" t="s">
        <v>229</v>
      </c>
      <c r="I117" s="7">
        <v>112234.35488000001</v>
      </c>
    </row>
    <row r="118" spans="1:9">
      <c r="A118" t="s">
        <v>229</v>
      </c>
      <c r="B118" s="42">
        <v>18.803000000000001</v>
      </c>
      <c r="C118" t="s">
        <v>229</v>
      </c>
      <c r="D118" s="7">
        <f t="shared" si="0"/>
        <v>75.212000000000003</v>
      </c>
      <c r="E118" s="7">
        <v>1492240</v>
      </c>
      <c r="F118" s="7">
        <f t="shared" si="1"/>
        <v>112234.35488000001</v>
      </c>
      <c r="H118" t="s">
        <v>243</v>
      </c>
      <c r="I118" s="7">
        <v>108380.370816</v>
      </c>
    </row>
    <row r="119" spans="1:9">
      <c r="A119" t="s">
        <v>230</v>
      </c>
      <c r="B119" s="42">
        <v>16.969000000000001</v>
      </c>
      <c r="C119" t="s">
        <v>230</v>
      </c>
      <c r="D119" s="7">
        <f t="shared" si="0"/>
        <v>67.876000000000005</v>
      </c>
      <c r="E119" s="7">
        <v>687141</v>
      </c>
      <c r="F119" s="7">
        <f t="shared" si="1"/>
        <v>46640.382516000005</v>
      </c>
      <c r="H119" t="s">
        <v>245</v>
      </c>
      <c r="I119" s="7">
        <v>91554.293540000013</v>
      </c>
    </row>
    <row r="120" spans="1:9">
      <c r="A120" t="s">
        <v>231</v>
      </c>
      <c r="B120" s="42">
        <v>17.422999999999998</v>
      </c>
      <c r="C120" t="s">
        <v>231</v>
      </c>
      <c r="D120" s="7">
        <f t="shared" si="0"/>
        <v>69.691999999999993</v>
      </c>
      <c r="E120" s="7">
        <v>685709</v>
      </c>
      <c r="F120" s="7">
        <f t="shared" si="1"/>
        <v>47788.431627999998</v>
      </c>
      <c r="H120" t="s">
        <v>232</v>
      </c>
      <c r="I120" s="7">
        <v>89224.745479999983</v>
      </c>
    </row>
    <row r="121" spans="1:9">
      <c r="A121" t="s">
        <v>232</v>
      </c>
      <c r="B121" s="42">
        <v>18.376999999999999</v>
      </c>
      <c r="C121" t="s">
        <v>232</v>
      </c>
      <c r="D121" s="7">
        <f t="shared" si="0"/>
        <v>73.507999999999996</v>
      </c>
      <c r="E121" s="7">
        <v>1213810</v>
      </c>
      <c r="F121" s="7">
        <f t="shared" si="1"/>
        <v>89224.745479999983</v>
      </c>
      <c r="H121" t="s">
        <v>234</v>
      </c>
      <c r="I121" s="7">
        <v>78468.759839999999</v>
      </c>
    </row>
    <row r="122" spans="1:9">
      <c r="A122" t="s">
        <v>233</v>
      </c>
      <c r="B122" s="42">
        <v>20.870999999999999</v>
      </c>
      <c r="C122" t="s">
        <v>233</v>
      </c>
      <c r="D122" s="7">
        <f t="shared" si="0"/>
        <v>83.483999999999995</v>
      </c>
      <c r="E122" s="7">
        <v>698716</v>
      </c>
      <c r="F122" s="7">
        <f t="shared" si="1"/>
        <v>58331.606544000002</v>
      </c>
      <c r="H122" t="s">
        <v>235</v>
      </c>
      <c r="I122" s="7">
        <v>67762.551480000009</v>
      </c>
    </row>
    <row r="123" spans="1:9">
      <c r="A123" t="s">
        <v>234</v>
      </c>
      <c r="B123" s="42">
        <v>17.286000000000001</v>
      </c>
      <c r="C123" t="s">
        <v>234</v>
      </c>
      <c r="D123" s="7">
        <f t="shared" si="0"/>
        <v>69.144000000000005</v>
      </c>
      <c r="E123" s="7">
        <v>1134860</v>
      </c>
      <c r="F123" s="7">
        <f t="shared" si="1"/>
        <v>78468.759839999999</v>
      </c>
      <c r="H123" t="s">
        <v>237</v>
      </c>
      <c r="I123" s="7">
        <v>67089.55563599999</v>
      </c>
    </row>
    <row r="124" spans="1:9">
      <c r="A124" t="s">
        <v>235</v>
      </c>
      <c r="B124" s="42">
        <v>20.315000000000001</v>
      </c>
      <c r="C124" t="s">
        <v>235</v>
      </c>
      <c r="D124" s="7">
        <f t="shared" si="0"/>
        <v>81.260000000000005</v>
      </c>
      <c r="E124" s="7">
        <v>833898</v>
      </c>
      <c r="F124" s="7">
        <f t="shared" si="1"/>
        <v>67762.551480000009</v>
      </c>
      <c r="H124" t="s">
        <v>236</v>
      </c>
      <c r="I124" s="7">
        <v>64843.133915999992</v>
      </c>
    </row>
    <row r="125" spans="1:9">
      <c r="A125" t="s">
        <v>236</v>
      </c>
      <c r="B125" s="42">
        <v>19.568999999999999</v>
      </c>
      <c r="C125" t="s">
        <v>236</v>
      </c>
      <c r="D125" s="7">
        <f t="shared" si="0"/>
        <v>78.275999999999996</v>
      </c>
      <c r="E125" s="7">
        <v>828391</v>
      </c>
      <c r="F125" s="7">
        <f t="shared" si="1"/>
        <v>64843.133915999992</v>
      </c>
      <c r="H125" t="s">
        <v>233</v>
      </c>
      <c r="I125" s="7">
        <v>58331.606544000002</v>
      </c>
    </row>
    <row r="126" spans="1:9">
      <c r="A126" t="s">
        <v>237</v>
      </c>
      <c r="B126" s="42">
        <v>22.172999999999998</v>
      </c>
      <c r="C126" t="s">
        <v>237</v>
      </c>
      <c r="D126" s="7">
        <f t="shared" si="0"/>
        <v>88.691999999999993</v>
      </c>
      <c r="E126" s="7">
        <v>756433</v>
      </c>
      <c r="F126" s="7">
        <f t="shared" si="1"/>
        <v>67089.55563599999</v>
      </c>
      <c r="H126" t="s">
        <v>228</v>
      </c>
      <c r="I126" s="7">
        <v>55429.257184000002</v>
      </c>
    </row>
    <row r="127" spans="1:9">
      <c r="A127" t="s">
        <v>238</v>
      </c>
      <c r="B127" s="42">
        <v>18.331</v>
      </c>
      <c r="C127" t="s">
        <v>238</v>
      </c>
      <c r="D127" s="7">
        <f t="shared" si="0"/>
        <v>73.323999999999998</v>
      </c>
      <c r="E127" s="7">
        <v>755707</v>
      </c>
      <c r="F127" s="7">
        <f t="shared" si="1"/>
        <v>55411.460067999993</v>
      </c>
      <c r="H127" t="s">
        <v>238</v>
      </c>
      <c r="I127" s="7">
        <v>55411.460067999993</v>
      </c>
    </row>
    <row r="128" spans="1:9">
      <c r="A128" t="s">
        <v>239</v>
      </c>
      <c r="B128" s="42">
        <v>15.448</v>
      </c>
      <c r="C128" t="s">
        <v>239</v>
      </c>
      <c r="D128" s="7">
        <f t="shared" si="0"/>
        <v>61.792000000000002</v>
      </c>
      <c r="E128" s="7">
        <v>536568</v>
      </c>
      <c r="F128" s="7">
        <f t="shared" si="1"/>
        <v>33155.609856000003</v>
      </c>
      <c r="H128" t="s">
        <v>227</v>
      </c>
      <c r="I128" s="7">
        <v>49715.698559999997</v>
      </c>
    </row>
    <row r="129" spans="1:9">
      <c r="A129" t="s">
        <v>240</v>
      </c>
      <c r="B129" s="42">
        <v>23.677</v>
      </c>
      <c r="C129" t="s">
        <v>240</v>
      </c>
      <c r="D129" s="7">
        <f t="shared" si="0"/>
        <v>94.707999999999998</v>
      </c>
      <c r="E129" s="7">
        <v>2103787</v>
      </c>
      <c r="F129" s="7">
        <f t="shared" si="1"/>
        <v>199245.45919600001</v>
      </c>
      <c r="H129" t="s">
        <v>231</v>
      </c>
      <c r="I129" s="7">
        <v>47788.431627999998</v>
      </c>
    </row>
    <row r="130" spans="1:9">
      <c r="A130" t="s">
        <v>241</v>
      </c>
      <c r="B130" s="42">
        <v>15.112</v>
      </c>
      <c r="C130" t="s">
        <v>241</v>
      </c>
      <c r="D130" s="7">
        <f t="shared" si="0"/>
        <v>60.448</v>
      </c>
      <c r="E130" s="7">
        <v>221154</v>
      </c>
      <c r="F130" s="7">
        <f t="shared" si="1"/>
        <v>13368.316992</v>
      </c>
      <c r="H130" t="s">
        <v>230</v>
      </c>
      <c r="I130" s="7">
        <v>46640.382516000005</v>
      </c>
    </row>
    <row r="131" spans="1:9">
      <c r="A131" t="s">
        <v>242</v>
      </c>
      <c r="B131" s="42">
        <v>15.779</v>
      </c>
      <c r="C131" t="s">
        <v>242</v>
      </c>
      <c r="D131" s="7">
        <f t="shared" si="0"/>
        <v>63.116</v>
      </c>
      <c r="E131" s="7">
        <v>731569</v>
      </c>
      <c r="F131" s="7">
        <f t="shared" si="1"/>
        <v>46173.709004000004</v>
      </c>
      <c r="H131" t="s">
        <v>242</v>
      </c>
      <c r="I131" s="7">
        <v>46173.709004000004</v>
      </c>
    </row>
    <row r="132" spans="1:9">
      <c r="A132" t="s">
        <v>243</v>
      </c>
      <c r="B132" s="42">
        <v>20.448</v>
      </c>
      <c r="C132" t="s">
        <v>243</v>
      </c>
      <c r="D132" s="7">
        <f t="shared" si="0"/>
        <v>81.792000000000002</v>
      </c>
      <c r="E132" s="7">
        <v>1325073</v>
      </c>
      <c r="F132" s="7">
        <f t="shared" si="1"/>
        <v>108380.370816</v>
      </c>
      <c r="H132" t="s">
        <v>239</v>
      </c>
      <c r="I132" s="7">
        <v>33155.609856000003</v>
      </c>
    </row>
    <row r="133" spans="1:9">
      <c r="A133" t="s">
        <v>244</v>
      </c>
      <c r="B133" s="42">
        <v>21.29</v>
      </c>
      <c r="C133" t="s">
        <v>244</v>
      </c>
      <c r="D133" s="7">
        <f t="shared" si="0"/>
        <v>85.16</v>
      </c>
      <c r="E133" s="7">
        <v>2131590</v>
      </c>
      <c r="F133" s="7">
        <f t="shared" si="1"/>
        <v>181526.20440000002</v>
      </c>
      <c r="H133" t="s">
        <v>226</v>
      </c>
      <c r="I133" s="7">
        <v>32365.513751999999</v>
      </c>
    </row>
    <row r="134" spans="1:9">
      <c r="A134" t="s">
        <v>245</v>
      </c>
      <c r="B134" s="42">
        <v>19.445</v>
      </c>
      <c r="C134" t="s">
        <v>245</v>
      </c>
      <c r="D134" s="7">
        <f t="shared" si="0"/>
        <v>77.78</v>
      </c>
      <c r="E134" s="7">
        <v>1177093</v>
      </c>
      <c r="F134" s="7">
        <f t="shared" si="1"/>
        <v>91554.293540000013</v>
      </c>
      <c r="H134" t="s">
        <v>241</v>
      </c>
      <c r="I134" s="7">
        <v>13368.316992</v>
      </c>
    </row>
    <row r="137" spans="1:9">
      <c r="A137" t="s">
        <v>240</v>
      </c>
      <c r="B137" s="7">
        <v>94.707999999999998</v>
      </c>
    </row>
    <row r="138" spans="1:9">
      <c r="A138" t="s">
        <v>237</v>
      </c>
      <c r="B138" s="7">
        <v>88.691999999999993</v>
      </c>
    </row>
    <row r="139" spans="1:9">
      <c r="A139" t="s">
        <v>244</v>
      </c>
      <c r="B139" s="7">
        <v>85.16</v>
      </c>
    </row>
    <row r="140" spans="1:9">
      <c r="A140" t="s">
        <v>233</v>
      </c>
      <c r="B140" s="7">
        <v>83.483999999999995</v>
      </c>
    </row>
    <row r="141" spans="1:9">
      <c r="A141" t="s">
        <v>243</v>
      </c>
      <c r="B141" s="7">
        <v>81.792000000000002</v>
      </c>
    </row>
    <row r="142" spans="1:9">
      <c r="A142" t="s">
        <v>235</v>
      </c>
      <c r="B142" s="7">
        <v>81.260000000000005</v>
      </c>
    </row>
    <row r="143" spans="1:9">
      <c r="A143" t="s">
        <v>236</v>
      </c>
      <c r="B143" s="7">
        <v>78.275999999999996</v>
      </c>
    </row>
    <row r="144" spans="1:9">
      <c r="A144" t="s">
        <v>245</v>
      </c>
      <c r="B144" s="7">
        <v>77.78</v>
      </c>
    </row>
    <row r="145" spans="1:4">
      <c r="A145" t="s">
        <v>225</v>
      </c>
      <c r="B145" s="7">
        <v>76.432000000000002</v>
      </c>
    </row>
    <row r="146" spans="1:4">
      <c r="A146" t="s">
        <v>229</v>
      </c>
      <c r="B146" s="7">
        <v>75.212000000000003</v>
      </c>
    </row>
    <row r="147" spans="1:4">
      <c r="A147" t="s">
        <v>232</v>
      </c>
      <c r="B147" s="7">
        <v>73.507999999999996</v>
      </c>
    </row>
    <row r="148" spans="1:4">
      <c r="A148" t="s">
        <v>238</v>
      </c>
      <c r="B148" s="7">
        <v>73.323999999999998</v>
      </c>
    </row>
    <row r="149" spans="1:4">
      <c r="A149" t="s">
        <v>231</v>
      </c>
      <c r="B149" s="7">
        <v>69.691999999999993</v>
      </c>
    </row>
    <row r="150" spans="1:4">
      <c r="A150" t="s">
        <v>234</v>
      </c>
      <c r="B150" s="7">
        <v>69.144000000000005</v>
      </c>
    </row>
    <row r="151" spans="1:4">
      <c r="A151" t="s">
        <v>230</v>
      </c>
      <c r="B151" s="7">
        <v>67.876000000000005</v>
      </c>
    </row>
    <row r="152" spans="1:4">
      <c r="A152" t="s">
        <v>227</v>
      </c>
      <c r="B152" s="7">
        <v>63.183999999999997</v>
      </c>
    </row>
    <row r="153" spans="1:4">
      <c r="A153" t="s">
        <v>242</v>
      </c>
      <c r="B153" s="7">
        <v>63.116</v>
      </c>
    </row>
    <row r="154" spans="1:4">
      <c r="A154" t="s">
        <v>239</v>
      </c>
      <c r="B154" s="7">
        <v>61.792000000000002</v>
      </c>
    </row>
    <row r="155" spans="1:4">
      <c r="A155" t="s">
        <v>241</v>
      </c>
      <c r="B155" s="7">
        <v>60.448</v>
      </c>
    </row>
    <row r="156" spans="1:4">
      <c r="A156" t="s">
        <v>228</v>
      </c>
      <c r="B156" s="7">
        <v>60.088000000000001</v>
      </c>
    </row>
    <row r="157" spans="1:4">
      <c r="A157" t="s">
        <v>226</v>
      </c>
      <c r="B157" s="7">
        <v>52.968000000000004</v>
      </c>
    </row>
    <row r="159" spans="1:4">
      <c r="A159" t="s">
        <v>252</v>
      </c>
    </row>
    <row r="160" spans="1:4">
      <c r="B160" s="8" t="s">
        <v>253</v>
      </c>
      <c r="C160" s="8" t="s">
        <v>254</v>
      </c>
      <c r="D160" s="8" t="s">
        <v>255</v>
      </c>
    </row>
    <row r="161" spans="1:5">
      <c r="A161" s="88" t="str">
        <f>Цены!A3</f>
        <v>Картофель</v>
      </c>
      <c r="B161" s="7">
        <v>11.231</v>
      </c>
      <c r="C161" s="7">
        <f>B161*4</f>
        <v>44.923999999999999</v>
      </c>
    </row>
    <row r="162" spans="1:5">
      <c r="A162" s="88" t="str">
        <f>Цены!A4</f>
        <v>Морковь</v>
      </c>
      <c r="B162" s="7">
        <v>3.2090000000000001</v>
      </c>
      <c r="C162" s="7">
        <f>B162*4</f>
        <v>12.836</v>
      </c>
    </row>
    <row r="163" spans="1:5">
      <c r="A163" s="88" t="str">
        <f>Цены!A5</f>
        <v>Лук</v>
      </c>
      <c r="B163" s="7">
        <v>5.234</v>
      </c>
      <c r="C163" s="7">
        <f>B163*4</f>
        <v>20.936</v>
      </c>
    </row>
    <row r="164" spans="1:5">
      <c r="A164" s="88" t="str">
        <f>Цены!A6</f>
        <v>Капуста</v>
      </c>
      <c r="B164" s="7">
        <v>3.0920000000000001</v>
      </c>
      <c r="C164" s="7">
        <f>B164*4</f>
        <v>12.368</v>
      </c>
    </row>
    <row r="166" spans="1:5">
      <c r="A166" t="s">
        <v>256</v>
      </c>
      <c r="B166" s="88" t="str">
        <f>A161</f>
        <v>Картофель</v>
      </c>
      <c r="C166" s="88" t="str">
        <f>A162</f>
        <v>Морковь</v>
      </c>
      <c r="D166" s="88" t="str">
        <f>A163</f>
        <v>Лук</v>
      </c>
      <c r="E166" s="88" t="str">
        <f>A164</f>
        <v>Капуста</v>
      </c>
    </row>
    <row r="167" spans="1:5">
      <c r="A167" t="str">
        <f>A145</f>
        <v>Республика Казахстан</v>
      </c>
      <c r="B167" s="7">
        <f>C161*E114/1000</f>
        <v>882041.49976799998</v>
      </c>
      <c r="C167" s="7">
        <f>C162*E114/1000</f>
        <v>252023.07655200001</v>
      </c>
      <c r="D167" s="7">
        <f>C163*E114/1000</f>
        <v>411059.14075199998</v>
      </c>
      <c r="E167" s="7">
        <f>C164*E114/1000</f>
        <v>242834.326176</v>
      </c>
    </row>
    <row r="168" spans="1:5">
      <c r="A168" t="str">
        <f>A139</f>
        <v>Алматы</v>
      </c>
      <c r="B168" s="7">
        <f>C161*E133/1000</f>
        <v>95759.549159999995</v>
      </c>
      <c r="C168" s="7">
        <f>C162*E133/1000</f>
        <v>27361.089240000001</v>
      </c>
      <c r="D168" s="7">
        <f>C163*E133/1000</f>
        <v>44626.968240000002</v>
      </c>
      <c r="E168" s="7">
        <f>C164*E133/1000</f>
        <v>26363.505120000002</v>
      </c>
    </row>
    <row r="169" spans="1:5">
      <c r="A169" t="str">
        <f>A141</f>
        <v>Астана</v>
      </c>
      <c r="B169" s="7">
        <f>C161*E132/1000</f>
        <v>59527.579451999998</v>
      </c>
      <c r="C169" s="7">
        <f>C162*E132/1000</f>
        <v>17008.637028000001</v>
      </c>
      <c r="D169" s="7">
        <f>C163*E132/1000</f>
        <v>27741.728328000001</v>
      </c>
      <c r="E169" s="7">
        <f>C164*E132/1000</f>
        <v>16388.502864000002</v>
      </c>
    </row>
    <row r="170" spans="1:5">
      <c r="A170" t="str">
        <f>A144</f>
        <v>Шымкент</v>
      </c>
      <c r="B170" s="7">
        <f>C161*E134/1000</f>
        <v>52879.725931999994</v>
      </c>
      <c r="C170" s="7">
        <f>C162*E134/1000</f>
        <v>15109.165747999999</v>
      </c>
      <c r="D170" s="7">
        <f>C163*E134/1000</f>
        <v>24643.619048</v>
      </c>
      <c r="E170" s="7">
        <f>C164*E134/1000</f>
        <v>14558.286223999999</v>
      </c>
    </row>
    <row r="172" spans="1:5">
      <c r="A172" t="s">
        <v>258</v>
      </c>
      <c r="B172" s="7">
        <f>Предпосылки!B43</f>
        <v>24000</v>
      </c>
      <c r="C172" s="16">
        <f>Предпосылки!B44</f>
        <v>6400</v>
      </c>
      <c r="D172" s="16">
        <f>Предпосылки!B45</f>
        <v>6400</v>
      </c>
      <c r="E172" s="16">
        <f>Предпосылки!B46</f>
        <v>3200</v>
      </c>
    </row>
    <row r="173" spans="1:5">
      <c r="A173" t="s">
        <v>257</v>
      </c>
      <c r="B173" s="40">
        <f>B172/B168</f>
        <v>0.25062774637649515</v>
      </c>
      <c r="C173" s="40">
        <f>C172/C168</f>
        <v>0.23390881641669611</v>
      </c>
      <c r="D173" s="40">
        <f>D172/D168</f>
        <v>0.14341104162804316</v>
      </c>
      <c r="E173" s="40">
        <f>E172/E168</f>
        <v>0.12137991459915554</v>
      </c>
    </row>
    <row r="174" spans="1:5">
      <c r="B174" s="7"/>
    </row>
  </sheetData>
  <sortState xmlns:xlrd2="http://schemas.microsoft.com/office/spreadsheetml/2017/richdata2" ref="H115:I134">
    <sortCondition descending="1" ref="I115:I134"/>
  </sortState>
  <mergeCells count="1">
    <mergeCell ref="A112:D11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1"/>
  <sheetViews>
    <sheetView topLeftCell="A4" zoomScaleNormal="100" workbookViewId="0">
      <selection activeCell="I25" sqref="I25"/>
    </sheetView>
  </sheetViews>
  <sheetFormatPr defaultColWidth="9" defaultRowHeight="14.4" outlineLevelRow="1"/>
  <cols>
    <col min="1" max="1" width="47.77734375" customWidth="1"/>
    <col min="2" max="2" width="12.33203125" bestFit="1" customWidth="1"/>
    <col min="3" max="3" width="14.44140625" bestFit="1" customWidth="1"/>
    <col min="4" max="5" width="14.44140625" customWidth="1"/>
    <col min="6" max="6" width="13.44140625" customWidth="1"/>
    <col min="7" max="7" width="10.88671875" bestFit="1" customWidth="1"/>
    <col min="8" max="13" width="11.88671875" bestFit="1" customWidth="1"/>
    <col min="14" max="22" width="12.5546875" bestFit="1" customWidth="1"/>
    <col min="23" max="23" width="11.88671875" bestFit="1" customWidth="1"/>
    <col min="25" max="25" width="7.44140625" bestFit="1" customWidth="1"/>
  </cols>
  <sheetData>
    <row r="1" spans="1:25" ht="18">
      <c r="A1" s="164" t="s">
        <v>24</v>
      </c>
      <c r="B1" s="164"/>
      <c r="C1" s="164"/>
      <c r="D1" s="164"/>
      <c r="E1" s="134"/>
      <c r="F1" s="4"/>
      <c r="G1" s="53">
        <f>Предпосылки!B1</f>
        <v>2023</v>
      </c>
      <c r="H1" s="53">
        <f>Предпосылки!C1</f>
        <v>2024</v>
      </c>
      <c r="I1" s="53">
        <f>Предпосылки!D1</f>
        <v>2025</v>
      </c>
      <c r="J1" s="53">
        <f>Предпосылки!E1</f>
        <v>2026</v>
      </c>
      <c r="K1" s="53">
        <f>Предпосылки!F1</f>
        <v>2027</v>
      </c>
      <c r="L1" s="53">
        <f>Предпосылки!G1</f>
        <v>2028</v>
      </c>
      <c r="M1" s="53">
        <f>Предпосылки!H1</f>
        <v>2029</v>
      </c>
      <c r="N1" s="53">
        <f>Предпосылки!I1</f>
        <v>2030</v>
      </c>
      <c r="O1" s="53">
        <f>Предпосылки!J1</f>
        <v>2031</v>
      </c>
      <c r="P1" s="53">
        <f>Предпосылки!K1</f>
        <v>2032</v>
      </c>
      <c r="Q1" s="53">
        <f>Предпосылки!L1</f>
        <v>2033</v>
      </c>
      <c r="R1" s="53">
        <f>Предпосылки!M1</f>
        <v>2034</v>
      </c>
      <c r="S1" s="53">
        <f>Предпосылки!N1</f>
        <v>2035</v>
      </c>
      <c r="T1" s="53">
        <f>Предпосылки!O1</f>
        <v>2036</v>
      </c>
      <c r="U1" s="53">
        <f>Предпосылки!P1</f>
        <v>2037</v>
      </c>
      <c r="V1" s="53">
        <f>Предпосылки!Q1</f>
        <v>2038</v>
      </c>
      <c r="W1" s="4" t="s">
        <v>26</v>
      </c>
    </row>
    <row r="2" spans="1:25">
      <c r="A2" s="4" t="s">
        <v>123</v>
      </c>
      <c r="B2" s="4" t="s">
        <v>100</v>
      </c>
      <c r="C2" s="4" t="s">
        <v>122</v>
      </c>
      <c r="D2" s="4" t="s">
        <v>25</v>
      </c>
      <c r="E2" s="4" t="s">
        <v>315</v>
      </c>
      <c r="F2" s="4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105">
        <f>SUM(G2:V2)</f>
        <v>0</v>
      </c>
    </row>
    <row r="3" spans="1:25">
      <c r="A3" s="2" t="s">
        <v>124</v>
      </c>
      <c r="B3" s="94">
        <f>SUM(B4:B9)</f>
        <v>9948000</v>
      </c>
      <c r="C3" s="105">
        <f>B3*Предпосылки!$B$4</f>
        <v>10639411.436541144</v>
      </c>
      <c r="D3" s="52">
        <f>C3*Предпосылки!$B$3</f>
        <v>5034782280</v>
      </c>
      <c r="E3" s="52">
        <f>D3*(1+Предпосылки!$B$10)</f>
        <v>5638956153.6000004</v>
      </c>
      <c r="F3" s="52"/>
      <c r="G3" s="105">
        <f>C3/2</f>
        <v>5319705.7182705719</v>
      </c>
      <c r="H3" s="105">
        <f>C3/2</f>
        <v>5319705.7182705719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105">
        <f t="shared" ref="W3:W26" si="0">SUM(G3:V3)</f>
        <v>10639411.436541144</v>
      </c>
      <c r="Y3" s="88"/>
    </row>
    <row r="4" spans="1:25" outlineLevel="1">
      <c r="A4" s="77" t="s">
        <v>282</v>
      </c>
      <c r="B4" s="127">
        <v>2408000</v>
      </c>
      <c r="C4" s="128">
        <f>B4*Предпосылки!$B$4</f>
        <v>2575362.1571362154</v>
      </c>
      <c r="D4" s="126">
        <f>C4*Предпосылки!$B$3</f>
        <v>1218712880</v>
      </c>
      <c r="E4" s="126">
        <f>D4*(1+Предпосылки!$B$10)</f>
        <v>1364958425.6000001</v>
      </c>
      <c r="F4" s="52"/>
      <c r="G4" s="52"/>
      <c r="H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105">
        <f t="shared" si="0"/>
        <v>0</v>
      </c>
      <c r="Y4" s="88"/>
    </row>
    <row r="5" spans="1:25" outlineLevel="1">
      <c r="A5" s="77" t="s">
        <v>283</v>
      </c>
      <c r="B5" s="127">
        <v>2589000</v>
      </c>
      <c r="C5" s="128">
        <f>B5*Предпосылки!$B$4</f>
        <v>2768942.119944212</v>
      </c>
      <c r="D5" s="126">
        <f>C5*Предпосылки!$B$3</f>
        <v>1310318790</v>
      </c>
      <c r="E5" s="126">
        <f>D5*(1+Предпосылки!$B$10)</f>
        <v>1467557044.8000002</v>
      </c>
      <c r="F5" s="52"/>
      <c r="G5" s="52"/>
      <c r="H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105">
        <f t="shared" si="0"/>
        <v>0</v>
      </c>
      <c r="Y5" s="88"/>
    </row>
    <row r="6" spans="1:25" outlineLevel="1">
      <c r="A6" s="77" t="s">
        <v>284</v>
      </c>
      <c r="B6" s="127">
        <v>693000</v>
      </c>
      <c r="C6" s="128">
        <f>B6*Предпосылки!$B$4</f>
        <v>741165.27196652722</v>
      </c>
      <c r="D6" s="126">
        <f>C6*Предпосылки!$B$3</f>
        <v>350734230</v>
      </c>
      <c r="E6" s="126">
        <f>D6*(1+Предпосылки!$B$10)</f>
        <v>392822337.60000002</v>
      </c>
      <c r="F6" s="52"/>
      <c r="G6" s="52"/>
      <c r="H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105">
        <f t="shared" si="0"/>
        <v>0</v>
      </c>
      <c r="Y6" s="88"/>
    </row>
    <row r="7" spans="1:25" outlineLevel="1">
      <c r="A7" s="77" t="s">
        <v>285</v>
      </c>
      <c r="B7" s="127">
        <v>3372000</v>
      </c>
      <c r="C7" s="128">
        <f>B7*Предпосылки!$B$4</f>
        <v>3606362.6220362619</v>
      </c>
      <c r="D7" s="126">
        <f>C7*Предпосылки!$B$3</f>
        <v>1706602920</v>
      </c>
      <c r="E7" s="126">
        <f>D7*(1+Предпосылки!$B$10)</f>
        <v>1911395270.4000001</v>
      </c>
      <c r="F7" s="52"/>
      <c r="G7" s="52"/>
      <c r="H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05">
        <f t="shared" si="0"/>
        <v>0</v>
      </c>
      <c r="Y7" s="88"/>
    </row>
    <row r="8" spans="1:25" outlineLevel="1">
      <c r="A8" s="77" t="s">
        <v>286</v>
      </c>
      <c r="B8" s="127">
        <v>456000</v>
      </c>
      <c r="C8" s="128">
        <f>B8*Предпосылки!$B$4</f>
        <v>487693.16596931656</v>
      </c>
      <c r="D8" s="126">
        <f>C8*Предпосылки!$B$3</f>
        <v>230786160</v>
      </c>
      <c r="E8" s="126">
        <f>D8*(1+Предпосылки!$B$10)</f>
        <v>258480499.20000002</v>
      </c>
      <c r="F8" s="52"/>
      <c r="G8" s="52"/>
      <c r="H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105">
        <f t="shared" si="0"/>
        <v>0</v>
      </c>
      <c r="Y8" s="88"/>
    </row>
    <row r="9" spans="1:25" outlineLevel="1">
      <c r="A9" s="77" t="s">
        <v>287</v>
      </c>
      <c r="B9" s="127">
        <v>430000</v>
      </c>
      <c r="C9" s="128">
        <f>B9*Предпосылки!$B$4</f>
        <v>459886.09948860994</v>
      </c>
      <c r="D9" s="126">
        <f>C9*Предпосылки!$B$3</f>
        <v>217627300</v>
      </c>
      <c r="E9" s="126">
        <f>D9*(1+Предпосылки!$B$10)</f>
        <v>243742576.00000003</v>
      </c>
      <c r="F9" s="52"/>
      <c r="G9" s="52"/>
      <c r="H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105">
        <f t="shared" si="0"/>
        <v>0</v>
      </c>
      <c r="Y9" s="88"/>
    </row>
    <row r="10" spans="1:25">
      <c r="A10" s="2" t="s">
        <v>125</v>
      </c>
      <c r="B10" s="94">
        <f>D10/Предпосылки!$B$2</f>
        <v>39517101.025468774</v>
      </c>
      <c r="C10" s="105">
        <f>SUM(C11:C16)</f>
        <v>42263640.590000421</v>
      </c>
      <c r="D10" s="52">
        <f>C10*Предпосылки!$B$3</f>
        <v>20000000000</v>
      </c>
      <c r="E10" s="52">
        <f>D10*(1+Предпосылки!$B$10)</f>
        <v>22400000000.000004</v>
      </c>
      <c r="F10" s="52"/>
      <c r="G10" s="105">
        <f>C10/2</f>
        <v>21131820.29500021</v>
      </c>
      <c r="H10" s="105">
        <f>C10/2</f>
        <v>21131820.29500021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105">
        <f t="shared" si="0"/>
        <v>42263640.590000421</v>
      </c>
      <c r="Y10" s="88"/>
    </row>
    <row r="11" spans="1:25" outlineLevel="1">
      <c r="A11" s="77" t="s">
        <v>278</v>
      </c>
      <c r="B11" s="127">
        <f>D11/Предпосылки!$B$2</f>
        <v>18322103.890458591</v>
      </c>
      <c r="C11" s="128">
        <f>Предпосылки!D59</f>
        <v>19595536.959553692</v>
      </c>
      <c r="D11" s="126">
        <f>C11*Предпосылки!$B$3</f>
        <v>9272999999.9999981</v>
      </c>
      <c r="E11" s="126">
        <f>D11*(1+Предпосылки!$B$10)</f>
        <v>10385759999.999998</v>
      </c>
      <c r="F11" s="52"/>
      <c r="G11" s="52"/>
      <c r="H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105">
        <f t="shared" si="0"/>
        <v>0</v>
      </c>
      <c r="Y11" s="88"/>
    </row>
    <row r="12" spans="1:25" outlineLevel="1">
      <c r="A12" s="77" t="s">
        <v>279</v>
      </c>
      <c r="B12" s="127">
        <f>D12/Предпосылки!$B$2</f>
        <v>15123253.838098437</v>
      </c>
      <c r="C12" s="128">
        <f>Предпосылки!D60+Предпосылки!D62+Предпосылки!D63+Предпосылки!D64+Предпосылки!D65</f>
        <v>16174358.649254046</v>
      </c>
      <c r="D12" s="126">
        <f>C12*Предпосылки!$B$3</f>
        <v>7654030000</v>
      </c>
      <c r="E12" s="126">
        <f>D12*(1+Предпосылки!$B$10)</f>
        <v>8572513600.000001</v>
      </c>
      <c r="F12" s="52"/>
      <c r="G12" s="52"/>
      <c r="H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105">
        <f t="shared" si="0"/>
        <v>0</v>
      </c>
      <c r="Y12" s="88"/>
    </row>
    <row r="13" spans="1:25" outlineLevel="1">
      <c r="A13" s="77" t="s">
        <v>280</v>
      </c>
      <c r="B13" s="127">
        <f>D13/Предпосылки!$B$2</f>
        <v>1522593.9025113115</v>
      </c>
      <c r="C13" s="128">
        <f>Предпосылки!D61+Предпосылки!D66+Предпосылки!D67+Предпосылки!D68+Предпосылки!D69+Предпосылки!D70+Предпосылки!D71</f>
        <v>1628418.0719327161</v>
      </c>
      <c r="D13" s="126">
        <f>C13*Предпосылки!$B$3</f>
        <v>770599999.99999988</v>
      </c>
      <c r="E13" s="126">
        <f>D13*(1+Предпосылки!$B$10)</f>
        <v>863072000</v>
      </c>
      <c r="F13" s="52"/>
      <c r="G13" s="52"/>
      <c r="H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105">
        <f t="shared" si="0"/>
        <v>0</v>
      </c>
      <c r="Y13" s="88"/>
    </row>
    <row r="14" spans="1:25" outlineLevel="1">
      <c r="A14" s="77" t="s">
        <v>281</v>
      </c>
      <c r="B14" s="127">
        <f>D14/Предпосылки!$B$2</f>
        <v>493963.7628183596</v>
      </c>
      <c r="C14" s="128">
        <f>Предпосылки!D72+Предпосылки!D73</f>
        <v>528295.50737500517</v>
      </c>
      <c r="D14" s="126">
        <f>C14*Предпосылки!$B$3</f>
        <v>249999999.99999997</v>
      </c>
      <c r="E14" s="126">
        <f>D14*(1+Предпосылки!$B$10)</f>
        <v>280000000</v>
      </c>
      <c r="F14" s="52"/>
      <c r="G14" s="52"/>
      <c r="H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105">
        <f t="shared" si="0"/>
        <v>0</v>
      </c>
      <c r="Y14" s="88"/>
    </row>
    <row r="15" spans="1:25" outlineLevel="1">
      <c r="A15" s="77" t="s">
        <v>296</v>
      </c>
      <c r="B15" s="127">
        <f>D15/Предпосылки!$B$2</f>
        <v>987927.52563671931</v>
      </c>
      <c r="C15" s="128">
        <f>Предпосылки!D74</f>
        <v>1056591.0147500106</v>
      </c>
      <c r="D15" s="126">
        <f>C15*Предпосылки!$B$3</f>
        <v>500000000</v>
      </c>
      <c r="E15" s="126">
        <f>D15*(1+Предпосылки!$B$10)</f>
        <v>560000000</v>
      </c>
      <c r="F15" s="52"/>
      <c r="G15" s="52"/>
      <c r="H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105">
        <f t="shared" si="0"/>
        <v>0</v>
      </c>
      <c r="Y15" s="88"/>
    </row>
    <row r="16" spans="1:25" outlineLevel="1">
      <c r="A16" s="77" t="s">
        <v>277</v>
      </c>
      <c r="B16" s="127">
        <f>D16/Предпосылки!$B$2</f>
        <v>3067258.1059453478</v>
      </c>
      <c r="C16" s="128">
        <f>Предпосылки!D75</f>
        <v>3280440.3871349478</v>
      </c>
      <c r="D16" s="126">
        <f>C16*Предпосылки!$B$3</f>
        <v>1552370000</v>
      </c>
      <c r="E16" s="126">
        <f>D16*(1+Предпосылки!$B$10)</f>
        <v>1738654400.0000002</v>
      </c>
      <c r="F16" s="52"/>
      <c r="G16" s="52"/>
      <c r="H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105">
        <f t="shared" si="0"/>
        <v>0</v>
      </c>
      <c r="Y16" s="88"/>
    </row>
    <row r="17" spans="1:25">
      <c r="A17" s="2" t="s">
        <v>305</v>
      </c>
      <c r="B17" s="94">
        <f>C17/Предпосылки!B4</f>
        <v>9350141.273636166</v>
      </c>
      <c r="C17" s="105">
        <v>10000000</v>
      </c>
      <c r="D17" s="52">
        <f>C17*Предпосылки!B3</f>
        <v>4732200000</v>
      </c>
      <c r="E17" s="52">
        <f>D17*(1+Предпосылки!$B$10)</f>
        <v>5300064000.000001</v>
      </c>
      <c r="F17" s="52"/>
      <c r="G17" s="105">
        <f>C17</f>
        <v>10000000</v>
      </c>
      <c r="H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105">
        <f t="shared" si="0"/>
        <v>10000000</v>
      </c>
      <c r="Y17" s="88"/>
    </row>
    <row r="18" spans="1:25">
      <c r="A18" s="2" t="s">
        <v>357</v>
      </c>
      <c r="B18" s="94">
        <f>C18/Предпосылки!B4</f>
        <v>14960226.037817866</v>
      </c>
      <c r="C18" s="105">
        <f>100000*150+1000000</f>
        <v>16000000</v>
      </c>
      <c r="D18" s="52">
        <f>C18*Предпосылки!B3</f>
        <v>7571520000</v>
      </c>
      <c r="E18" s="52">
        <f>D18*(1+Предпосылки!$B$10)</f>
        <v>8480102400.000001</v>
      </c>
      <c r="F18" s="52"/>
      <c r="G18" s="52"/>
      <c r="H18" s="105">
        <f>$C$18/2</f>
        <v>8000000</v>
      </c>
      <c r="I18" s="105">
        <f>$C$18/2</f>
        <v>8000000</v>
      </c>
      <c r="J18" s="105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105">
        <f t="shared" si="0"/>
        <v>16000000</v>
      </c>
      <c r="Y18" s="88"/>
    </row>
    <row r="19" spans="1:25">
      <c r="A19" s="2" t="s">
        <v>289</v>
      </c>
      <c r="B19" s="94">
        <f>D19/Предпосылки!$B$2</f>
        <v>2963782.5769101577</v>
      </c>
      <c r="C19" s="105">
        <f>D19/Предпосылки!$B$3</f>
        <v>3169773.0442500315</v>
      </c>
      <c r="D19" s="52">
        <f>1500000000</f>
        <v>1500000000</v>
      </c>
      <c r="E19" s="52">
        <f>D19*(1+Предпосылки!$B$10)</f>
        <v>1680000000.0000002</v>
      </c>
      <c r="F19" s="52"/>
      <c r="G19" s="52"/>
      <c r="H19" s="105">
        <f>C19</f>
        <v>3169773.0442500315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105">
        <f t="shared" si="0"/>
        <v>3169773.0442500315</v>
      </c>
      <c r="Y19" s="88"/>
    </row>
    <row r="20" spans="1:25">
      <c r="A20" s="2" t="s">
        <v>307</v>
      </c>
      <c r="B20" s="94">
        <f>C20/Предпосылки!B4</f>
        <v>7012605.9552271245</v>
      </c>
      <c r="C20" s="105">
        <f>7500000</f>
        <v>7500000</v>
      </c>
      <c r="D20" s="52">
        <f>C20*Предпосылки!B3</f>
        <v>3549150000</v>
      </c>
      <c r="E20" s="52">
        <f>D20*(1+Предпосылки!$B$10)</f>
        <v>3975048000.0000005</v>
      </c>
      <c r="F20" s="52"/>
      <c r="G20" s="52"/>
      <c r="H20" s="105">
        <f>C20</f>
        <v>7500000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105">
        <f t="shared" si="0"/>
        <v>7500000</v>
      </c>
      <c r="Y20" s="88"/>
    </row>
    <row r="21" spans="1:25">
      <c r="A21" s="2" t="s">
        <v>308</v>
      </c>
      <c r="B21" s="94">
        <f>C21/Предпосылки!B4</f>
        <v>841512.71462725499</v>
      </c>
      <c r="C21" s="105">
        <f>300000*3</f>
        <v>900000</v>
      </c>
      <c r="D21" s="52">
        <f>C21*Предпосылки!B3</f>
        <v>425898000</v>
      </c>
      <c r="E21" s="52">
        <f>D21*(1+Предпосылки!$B$10)</f>
        <v>477005760.00000006</v>
      </c>
      <c r="F21" s="52"/>
      <c r="G21" s="52"/>
      <c r="H21" s="105">
        <f>C21</f>
        <v>900000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105">
        <f t="shared" si="0"/>
        <v>900000</v>
      </c>
      <c r="Y21" s="88"/>
    </row>
    <row r="22" spans="1:25">
      <c r="A22" s="2" t="s">
        <v>309</v>
      </c>
      <c r="B22" s="94">
        <f>C22/Предпосылки!B4</f>
        <v>1402521.1910454249</v>
      </c>
      <c r="C22" s="105">
        <v>1500000</v>
      </c>
      <c r="D22" s="52">
        <f>C22*Предпосылки!B3</f>
        <v>709830000</v>
      </c>
      <c r="E22" s="52">
        <f>D22*(1+Предпосылки!$B$10)</f>
        <v>795009600.00000012</v>
      </c>
      <c r="F22" s="52"/>
      <c r="G22" s="105">
        <f>$C$22/2</f>
        <v>750000</v>
      </c>
      <c r="H22" s="105">
        <f>$C$22/2</f>
        <v>750000</v>
      </c>
      <c r="I22" s="105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105">
        <f>SUM(G22:V22)</f>
        <v>1500000</v>
      </c>
      <c r="Y22" s="88"/>
    </row>
    <row r="23" spans="1:25">
      <c r="A23" s="2" t="s">
        <v>310</v>
      </c>
      <c r="B23" s="94">
        <f>C23/Предпосылки!B4</f>
        <v>317904.80330362968</v>
      </c>
      <c r="C23" s="105">
        <v>340000</v>
      </c>
      <c r="D23" s="52">
        <f>C23*Предпосылки!B3</f>
        <v>160894800</v>
      </c>
      <c r="E23" s="52">
        <f>D23*(1+Предпосылки!$B$10)</f>
        <v>180202176.00000003</v>
      </c>
      <c r="F23" s="52"/>
      <c r="G23" s="105">
        <f>$C$23/2</f>
        <v>170000</v>
      </c>
      <c r="H23" s="105">
        <f>$C$23/2</f>
        <v>170000</v>
      </c>
      <c r="I23" s="105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105">
        <f>SUM(G23:V23)</f>
        <v>340000</v>
      </c>
      <c r="Y23" s="88"/>
    </row>
    <row r="24" spans="1:25">
      <c r="A24" s="2" t="s">
        <v>356</v>
      </c>
      <c r="B24" s="94">
        <f>D24/Предпосылки!$B$2</f>
        <v>373436.60469067987</v>
      </c>
      <c r="C24" s="105">
        <f>D24/Предпосылки!$B$3</f>
        <v>399391.40357550397</v>
      </c>
      <c r="D24" s="52">
        <f>27000000*7</f>
        <v>189000000</v>
      </c>
      <c r="E24" s="52">
        <f>D24*(1+Предпосылки!$B$10)</f>
        <v>211680000.00000003</v>
      </c>
      <c r="F24" s="52"/>
      <c r="G24" s="52"/>
      <c r="H24" s="105">
        <f>C24</f>
        <v>399391.40357550397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105">
        <f t="shared" si="0"/>
        <v>399391.40357550397</v>
      </c>
      <c r="Y24" s="88"/>
    </row>
    <row r="25" spans="1:25">
      <c r="A25" s="2" t="s">
        <v>311</v>
      </c>
      <c r="B25" s="94">
        <f>C25/Предпосылки!B4</f>
        <v>2337535.3184090415</v>
      </c>
      <c r="C25" s="105">
        <v>2500000</v>
      </c>
      <c r="D25" s="52">
        <f>C25*Предпосылки!B3</f>
        <v>1183050000</v>
      </c>
      <c r="E25" s="52">
        <f>D25*(1+Предпосылки!$B$10)</f>
        <v>1325016000.0000002</v>
      </c>
      <c r="F25" s="52"/>
      <c r="G25" s="52"/>
      <c r="H25" s="105">
        <f>C25</f>
        <v>2500000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105">
        <f t="shared" si="0"/>
        <v>2500000</v>
      </c>
      <c r="Y25" s="88"/>
    </row>
    <row r="26" spans="1:25">
      <c r="A26" s="49" t="s">
        <v>27</v>
      </c>
      <c r="B26" s="93">
        <f>B3+B10+B19+B24+B17+B18+B20+B21+B22+B23+B25</f>
        <v>89024767.501136109</v>
      </c>
      <c r="C26" s="106">
        <f>C3+C10+C19+C24+C17+C18+C20+C21+C22+C23+C25</f>
        <v>95212216.474367097</v>
      </c>
      <c r="D26" s="84">
        <f>D3+D10+D19+D24+D17+D18+D20+D21+D22+D23+D25</f>
        <v>45056325080</v>
      </c>
      <c r="E26" s="84">
        <f>E3+E10+E19+E24+E17+E18+E20+E21+E22+E23+E25</f>
        <v>50463084089.600006</v>
      </c>
      <c r="F26" s="84"/>
      <c r="G26" s="142">
        <f>SUM(G3:G25)</f>
        <v>37371526.01327078</v>
      </c>
      <c r="H26" s="142">
        <f>SUM(H3:H25)</f>
        <v>49840690.461096317</v>
      </c>
      <c r="I26" s="142">
        <f>SUM(I3:I25)</f>
        <v>8000000</v>
      </c>
      <c r="J26" s="142">
        <f>SUM(J3:J25)</f>
        <v>0</v>
      </c>
      <c r="K26" s="142">
        <f>SUM(K3:K25)</f>
        <v>0</v>
      </c>
      <c r="L26" s="142">
        <f>SUM(L3:L25)</f>
        <v>0</v>
      </c>
      <c r="M26" s="142">
        <f>SUM(M3:M25)</f>
        <v>0</v>
      </c>
      <c r="N26" s="142">
        <f>SUM(N3:N25)</f>
        <v>0</v>
      </c>
      <c r="O26" s="142">
        <f>SUM(O3:O25)</f>
        <v>0</v>
      </c>
      <c r="P26" s="142">
        <f>SUM(P3:P25)</f>
        <v>0</v>
      </c>
      <c r="Q26" s="142">
        <f>SUM(Q3:Q25)</f>
        <v>0</v>
      </c>
      <c r="R26" s="142">
        <f>SUM(R3:R25)</f>
        <v>0</v>
      </c>
      <c r="S26" s="142">
        <f>SUM(S3:S25)</f>
        <v>0</v>
      </c>
      <c r="T26" s="142">
        <f>SUM(T3:T25)</f>
        <v>0</v>
      </c>
      <c r="U26" s="142">
        <f>SUM(U3:U25)</f>
        <v>0</v>
      </c>
      <c r="V26" s="142">
        <f>SUM(V3:V25)</f>
        <v>0</v>
      </c>
      <c r="W26" s="142">
        <f t="shared" si="0"/>
        <v>95212216.474367097</v>
      </c>
      <c r="Y26" s="88"/>
    </row>
    <row r="27" spans="1:25">
      <c r="A27" s="2"/>
      <c r="B27" s="2"/>
      <c r="C27" s="2"/>
      <c r="D27" s="84"/>
      <c r="E27" s="84"/>
      <c r="F27" s="2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33"/>
    </row>
    <row r="28" spans="1:25">
      <c r="A28" s="2"/>
      <c r="B28" s="2"/>
      <c r="C28" s="2"/>
      <c r="D28" s="2"/>
      <c r="E28" s="2"/>
      <c r="F28" s="101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3"/>
    </row>
    <row r="29" spans="1:25">
      <c r="A29" s="50" t="s">
        <v>28</v>
      </c>
      <c r="B29" s="50"/>
      <c r="C29" s="50"/>
      <c r="D29" s="50"/>
      <c r="E29" s="50"/>
      <c r="F29" s="50"/>
      <c r="G29" s="53">
        <f>G1</f>
        <v>2023</v>
      </c>
      <c r="H29" s="53">
        <f>H1</f>
        <v>2024</v>
      </c>
      <c r="I29" s="53">
        <f>I1</f>
        <v>2025</v>
      </c>
      <c r="J29" s="53">
        <f>J1</f>
        <v>2026</v>
      </c>
      <c r="K29" s="53">
        <f>K1</f>
        <v>2027</v>
      </c>
      <c r="L29" s="53">
        <f>L1</f>
        <v>2028</v>
      </c>
      <c r="M29" s="53">
        <f>M1</f>
        <v>2029</v>
      </c>
      <c r="N29" s="53">
        <f>N1</f>
        <v>2030</v>
      </c>
      <c r="O29" s="53">
        <f>O1</f>
        <v>2031</v>
      </c>
      <c r="P29" s="53">
        <f>P1</f>
        <v>2032</v>
      </c>
      <c r="Q29" s="53">
        <f>Q1</f>
        <v>2033</v>
      </c>
      <c r="R29" s="53">
        <f>R1</f>
        <v>2034</v>
      </c>
      <c r="S29" s="53">
        <f>S1</f>
        <v>2035</v>
      </c>
      <c r="T29" s="53">
        <f>T1</f>
        <v>2036</v>
      </c>
      <c r="U29" s="53">
        <f>U1</f>
        <v>2037</v>
      </c>
      <c r="V29" s="53">
        <f>V1</f>
        <v>2038</v>
      </c>
      <c r="W29" s="51"/>
    </row>
    <row r="30" spans="1:25">
      <c r="A30" s="2" t="s">
        <v>29</v>
      </c>
      <c r="B30" s="2"/>
      <c r="C30" s="2"/>
      <c r="D30" s="2"/>
      <c r="E30" s="2"/>
      <c r="F30" s="2"/>
      <c r="G30" s="105">
        <f>G26</f>
        <v>37371526.01327078</v>
      </c>
      <c r="H30" s="105">
        <f t="shared" ref="H30:V30" si="1">G30+H26</f>
        <v>87212216.474367097</v>
      </c>
      <c r="I30" s="105">
        <f t="shared" si="1"/>
        <v>95212216.474367097</v>
      </c>
      <c r="J30" s="105">
        <f t="shared" si="1"/>
        <v>95212216.474367097</v>
      </c>
      <c r="K30" s="105">
        <f t="shared" si="1"/>
        <v>95212216.474367097</v>
      </c>
      <c r="L30" s="105">
        <f t="shared" si="1"/>
        <v>95212216.474367097</v>
      </c>
      <c r="M30" s="105">
        <f t="shared" si="1"/>
        <v>95212216.474367097</v>
      </c>
      <c r="N30" s="105">
        <f t="shared" si="1"/>
        <v>95212216.474367097</v>
      </c>
      <c r="O30" s="105">
        <f t="shared" si="1"/>
        <v>95212216.474367097</v>
      </c>
      <c r="P30" s="105">
        <f t="shared" si="1"/>
        <v>95212216.474367097</v>
      </c>
      <c r="Q30" s="105">
        <f t="shared" si="1"/>
        <v>95212216.474367097</v>
      </c>
      <c r="R30" s="105">
        <f t="shared" si="1"/>
        <v>95212216.474367097</v>
      </c>
      <c r="S30" s="105">
        <f t="shared" si="1"/>
        <v>95212216.474367097</v>
      </c>
      <c r="T30" s="105">
        <f t="shared" si="1"/>
        <v>95212216.474367097</v>
      </c>
      <c r="U30" s="105">
        <f t="shared" si="1"/>
        <v>95212216.474367097</v>
      </c>
      <c r="V30" s="105">
        <f t="shared" si="1"/>
        <v>95212216.474367097</v>
      </c>
      <c r="W30" s="52"/>
    </row>
    <row r="31" spans="1:25">
      <c r="A31" s="2" t="s">
        <v>30</v>
      </c>
      <c r="B31" s="2"/>
      <c r="C31" s="2"/>
      <c r="D31" s="2"/>
      <c r="E31" s="2"/>
      <c r="F31" s="2"/>
      <c r="G31" s="105">
        <v>0</v>
      </c>
      <c r="H31" s="105">
        <f t="shared" ref="H31:V31" si="2">G31-H33</f>
        <v>-6229187.1243818942</v>
      </c>
      <c r="I31" s="105">
        <f t="shared" si="2"/>
        <v>-15350408.771818604</v>
      </c>
      <c r="J31" s="105">
        <f t="shared" si="2"/>
        <v>-24871630.419255316</v>
      </c>
      <c r="K31" s="105">
        <f t="shared" si="2"/>
        <v>-34392852.066692024</v>
      </c>
      <c r="L31" s="105">
        <f t="shared" si="2"/>
        <v>-43914073.714128733</v>
      </c>
      <c r="M31" s="105">
        <f t="shared" si="2"/>
        <v>-53435295.361565441</v>
      </c>
      <c r="N31" s="105">
        <f t="shared" si="2"/>
        <v>-62956517.009002149</v>
      </c>
      <c r="O31" s="105">
        <f t="shared" si="2"/>
        <v>-72477738.656438857</v>
      </c>
      <c r="P31" s="105">
        <f t="shared" si="2"/>
        <v>-81998960.303875566</v>
      </c>
      <c r="Q31" s="105">
        <f t="shared" si="2"/>
        <v>-91520181.951312274</v>
      </c>
      <c r="R31" s="105">
        <f t="shared" si="2"/>
        <v>-101041403.59874898</v>
      </c>
      <c r="S31" s="105">
        <f t="shared" si="2"/>
        <v>-110562625.24618569</v>
      </c>
      <c r="T31" s="105">
        <f t="shared" si="2"/>
        <v>-120083846.8936224</v>
      </c>
      <c r="U31" s="105">
        <f t="shared" si="2"/>
        <v>-129605068.54105911</v>
      </c>
      <c r="V31" s="105">
        <f t="shared" si="2"/>
        <v>-139126290.18849581</v>
      </c>
      <c r="W31" s="52"/>
    </row>
    <row r="32" spans="1:25">
      <c r="A32" s="2" t="s">
        <v>31</v>
      </c>
      <c r="B32" s="2"/>
      <c r="C32" s="2"/>
      <c r="D32" s="2"/>
      <c r="E32" s="2"/>
      <c r="F32" s="2"/>
      <c r="G32" s="105">
        <f t="shared" ref="G32:V32" si="3">SUM(G30:G31)</f>
        <v>37371526.01327078</v>
      </c>
      <c r="H32" s="105">
        <f t="shared" si="3"/>
        <v>80983029.349985197</v>
      </c>
      <c r="I32" s="105">
        <f t="shared" si="3"/>
        <v>79861807.702548489</v>
      </c>
      <c r="J32" s="105">
        <f t="shared" si="3"/>
        <v>70340586.055111781</v>
      </c>
      <c r="K32" s="105">
        <f t="shared" si="3"/>
        <v>60819364.407675073</v>
      </c>
      <c r="L32" s="105">
        <f t="shared" si="3"/>
        <v>51298142.760238364</v>
      </c>
      <c r="M32" s="105">
        <f t="shared" si="3"/>
        <v>41776921.112801656</v>
      </c>
      <c r="N32" s="105">
        <f t="shared" si="3"/>
        <v>32255699.465364948</v>
      </c>
      <c r="O32" s="105">
        <f t="shared" si="3"/>
        <v>22734477.81792824</v>
      </c>
      <c r="P32" s="105">
        <f t="shared" si="3"/>
        <v>13213256.170491531</v>
      </c>
      <c r="Q32" s="105">
        <f t="shared" si="3"/>
        <v>3692034.5230548233</v>
      </c>
      <c r="R32" s="105">
        <f t="shared" si="3"/>
        <v>-5829187.1243818849</v>
      </c>
      <c r="S32" s="105">
        <f t="shared" si="3"/>
        <v>-15350408.771818593</v>
      </c>
      <c r="T32" s="105">
        <f t="shared" si="3"/>
        <v>-24871630.419255301</v>
      </c>
      <c r="U32" s="105">
        <f t="shared" si="3"/>
        <v>-34392852.06669201</v>
      </c>
      <c r="V32" s="105">
        <f t="shared" si="3"/>
        <v>-43914073.714128718</v>
      </c>
      <c r="W32" s="52"/>
    </row>
    <row r="33" spans="1:27">
      <c r="A33" s="2" t="s">
        <v>32</v>
      </c>
      <c r="B33" s="2"/>
      <c r="C33" s="2"/>
      <c r="D33" s="2"/>
      <c r="E33" s="2"/>
      <c r="F33" s="2"/>
      <c r="G33" s="105">
        <f>AVERAGE(G30:G30)*Предпосылки!B11</f>
        <v>3737152.6013270784</v>
      </c>
      <c r="H33" s="105">
        <f>AVERAGE(G30:H30)*Предпосылки!$B$11</f>
        <v>6229187.1243818942</v>
      </c>
      <c r="I33" s="105">
        <f>AVERAGE(H30:I30)*Предпосылки!$B$11</f>
        <v>9121221.6474367101</v>
      </c>
      <c r="J33" s="105">
        <f>AVERAGE(I30:J30)*Предпосылки!$B$11</f>
        <v>9521221.6474367101</v>
      </c>
      <c r="K33" s="105">
        <f>AVERAGE(J30:K30)*Предпосылки!$B$11</f>
        <v>9521221.6474367101</v>
      </c>
      <c r="L33" s="105">
        <f>AVERAGE(K30:L30)*Предпосылки!$B$11</f>
        <v>9521221.6474367101</v>
      </c>
      <c r="M33" s="105">
        <f>AVERAGE(L30:M30)*Предпосылки!$B$11</f>
        <v>9521221.6474367101</v>
      </c>
      <c r="N33" s="105">
        <f>AVERAGE(M30:N30)*Предпосылки!$B$11</f>
        <v>9521221.6474367101</v>
      </c>
      <c r="O33" s="105">
        <f>AVERAGE(N30:O30)*Предпосылки!$B$11</f>
        <v>9521221.6474367101</v>
      </c>
      <c r="P33" s="105">
        <f>AVERAGE(O30:P30)*Предпосылки!$B$11</f>
        <v>9521221.6474367101</v>
      </c>
      <c r="Q33" s="105">
        <f>AVERAGE(P30:Q30)*Предпосылки!$B$11</f>
        <v>9521221.6474367101</v>
      </c>
      <c r="R33" s="105">
        <f>AVERAGE(Q30:R30)*Предпосылки!$B$11</f>
        <v>9521221.6474367101</v>
      </c>
      <c r="S33" s="105">
        <f>AVERAGE(R30:S30)*Предпосылки!$B$11</f>
        <v>9521221.6474367101</v>
      </c>
      <c r="T33" s="105">
        <f>AVERAGE(S30:T30)*Предпосылки!$B$11</f>
        <v>9521221.6474367101</v>
      </c>
      <c r="U33" s="105">
        <f>AVERAGE(T30:U30)*Предпосылки!$B$11</f>
        <v>9521221.6474367101</v>
      </c>
      <c r="V33" s="105">
        <f>AVERAGE(U30:V30)*Предпосылки!$B$11</f>
        <v>9521221.6474367101</v>
      </c>
      <c r="W33" s="52"/>
      <c r="X33" s="52"/>
      <c r="Y33" s="52"/>
      <c r="Z33" s="52"/>
      <c r="AA33" s="52"/>
    </row>
    <row r="34" spans="1:27">
      <c r="A34" s="2"/>
      <c r="B34" s="2"/>
      <c r="C34" s="2"/>
      <c r="D34" s="2"/>
      <c r="E34" s="2"/>
      <c r="F34" s="2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3"/>
    </row>
    <row r="35" spans="1:27">
      <c r="A35" s="2"/>
      <c r="B35" s="2"/>
      <c r="C35" s="2"/>
      <c r="D35" s="2"/>
      <c r="E35" s="2"/>
      <c r="F35" s="2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33"/>
    </row>
    <row r="36" spans="1:27" s="90" customFormat="1" ht="28.8">
      <c r="A36" s="90" t="s">
        <v>105</v>
      </c>
      <c r="B36" s="90" t="s">
        <v>107</v>
      </c>
      <c r="C36" s="90" t="s">
        <v>108</v>
      </c>
      <c r="D36" s="90" t="s">
        <v>109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</row>
    <row r="37" spans="1:27" ht="28.8">
      <c r="A37" s="2" t="s">
        <v>106</v>
      </c>
      <c r="B37" s="105">
        <f>C3+C18+C19+C21+C24</f>
        <v>31108575.884366676</v>
      </c>
      <c r="C37" s="97">
        <v>0.25</v>
      </c>
      <c r="D37" s="105">
        <f>B37*C37</f>
        <v>7777143.9710916691</v>
      </c>
      <c r="E37" s="89"/>
      <c r="F37" s="2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33"/>
    </row>
    <row r="38" spans="1:27" ht="28.8">
      <c r="A38" s="2" t="s">
        <v>224</v>
      </c>
      <c r="B38" s="89"/>
      <c r="C38" s="97"/>
      <c r="D38" s="105">
        <f>85225*Предпосылки!B42/Предпосылки!B3</f>
        <v>7203837.5385655714</v>
      </c>
      <c r="E38" s="89"/>
      <c r="F38" s="2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33"/>
    </row>
    <row r="39" spans="1:27">
      <c r="B39" s="142">
        <f>SUM(B37:B37)</f>
        <v>31108575.884366676</v>
      </c>
      <c r="C39" s="91" t="s">
        <v>111</v>
      </c>
      <c r="D39" s="142">
        <f>SUM(D37:D38)</f>
        <v>14980981.509657241</v>
      </c>
      <c r="E39" s="92"/>
    </row>
    <row r="42" spans="1:27">
      <c r="A42" t="s">
        <v>209</v>
      </c>
      <c r="B42" s="105">
        <f>C26</f>
        <v>95212216.474367097</v>
      </c>
    </row>
    <row r="43" spans="1:27">
      <c r="A43" t="s">
        <v>210</v>
      </c>
      <c r="B43" s="105">
        <f>SUM(Операции!B35:D38)</f>
        <v>8362891.960046771</v>
      </c>
    </row>
    <row r="44" spans="1:27">
      <c r="A44" t="s">
        <v>212</v>
      </c>
      <c r="B44" s="105">
        <f>SUM(B42:B43)</f>
        <v>103575108.43441387</v>
      </c>
      <c r="C44" s="52">
        <f>B44*Предпосылки!B3</f>
        <v>49013812813.333336</v>
      </c>
    </row>
    <row r="45" spans="1:27">
      <c r="A45" t="s">
        <v>213</v>
      </c>
      <c r="B45" s="94">
        <f>B44/Предпосылки!B4</f>
        <v>96844189.629395455</v>
      </c>
    </row>
    <row r="47" spans="1:27">
      <c r="A47" t="s">
        <v>214</v>
      </c>
      <c r="B47" s="16">
        <f>-ОПиУ!R31</f>
        <v>93853131.027077049</v>
      </c>
    </row>
    <row r="48" spans="1:27">
      <c r="A48" t="s">
        <v>215</v>
      </c>
      <c r="B48" s="16">
        <f>-ОПиУ!R33-ОПиУ!R36</f>
        <v>81482960.751913875</v>
      </c>
    </row>
    <row r="49" spans="1:2">
      <c r="A49" t="s">
        <v>216</v>
      </c>
      <c r="B49" s="16">
        <f>B42+B47+B48</f>
        <v>270548308.25335801</v>
      </c>
    </row>
    <row r="50" spans="1:2">
      <c r="A50" t="s">
        <v>217</v>
      </c>
      <c r="B50" s="105">
        <f>B49/AVERAGE(Предпосылки!B3:L3)</f>
        <v>450354.40282221371</v>
      </c>
    </row>
    <row r="51" spans="1:2">
      <c r="A51" t="s">
        <v>218</v>
      </c>
      <c r="B51" s="94">
        <f>B49/AVERAGE(Предпосылки!B2:L2)</f>
        <v>425735.57022488286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4CF3D-8896-4A2E-9AD0-F3ED265B972A}">
  <dimension ref="A1:DV14"/>
  <sheetViews>
    <sheetView workbookViewId="0">
      <pane xSplit="1" topLeftCell="B1" activePane="topRight" state="frozen"/>
      <selection pane="topRight" activeCell="A21" sqref="A21"/>
    </sheetView>
  </sheetViews>
  <sheetFormatPr defaultRowHeight="14.4"/>
  <cols>
    <col min="1" max="1" width="47.33203125" style="87" customWidth="1"/>
    <col min="2" max="2" width="7.33203125" bestFit="1" customWidth="1"/>
    <col min="3" max="3" width="6.33203125" bestFit="1" customWidth="1"/>
    <col min="4" max="4" width="7.88671875" bestFit="1" customWidth="1"/>
    <col min="5" max="5" width="6.5546875" bestFit="1" customWidth="1"/>
    <col min="6" max="6" width="6.6640625" bestFit="1" customWidth="1"/>
    <col min="7" max="7" width="7.77734375" bestFit="1" customWidth="1"/>
    <col min="8" max="8" width="7.6640625" bestFit="1" customWidth="1"/>
    <col min="9" max="9" width="6.5546875" bestFit="1" customWidth="1"/>
    <col min="10" max="10" width="7" bestFit="1" customWidth="1"/>
    <col min="11" max="11" width="8.109375" bestFit="1" customWidth="1"/>
    <col min="12" max="12" width="8" bestFit="1" customWidth="1"/>
    <col min="13" max="13" width="6.21875" bestFit="1" customWidth="1"/>
    <col min="14" max="14" width="7.33203125" bestFit="1" customWidth="1"/>
    <col min="15" max="15" width="6.33203125" bestFit="1" customWidth="1"/>
    <col min="16" max="16" width="7.88671875" bestFit="1" customWidth="1"/>
    <col min="17" max="17" width="6.5546875" bestFit="1" customWidth="1"/>
    <col min="18" max="18" width="6.6640625" bestFit="1" customWidth="1"/>
    <col min="19" max="19" width="7.77734375" bestFit="1" customWidth="1"/>
    <col min="20" max="20" width="7.6640625" bestFit="1" customWidth="1"/>
    <col min="21" max="21" width="6.5546875" bestFit="1" customWidth="1"/>
    <col min="22" max="22" width="7" bestFit="1" customWidth="1"/>
    <col min="23" max="23" width="8.109375" bestFit="1" customWidth="1"/>
    <col min="24" max="24" width="8" bestFit="1" customWidth="1"/>
    <col min="25" max="25" width="6.21875" bestFit="1" customWidth="1"/>
    <col min="26" max="26" width="7.33203125" bestFit="1" customWidth="1"/>
    <col min="27" max="27" width="6.33203125" bestFit="1" customWidth="1"/>
    <col min="28" max="28" width="7.88671875" bestFit="1" customWidth="1"/>
    <col min="29" max="29" width="6.5546875" bestFit="1" customWidth="1"/>
    <col min="30" max="30" width="6.6640625" bestFit="1" customWidth="1"/>
    <col min="31" max="31" width="7.77734375" bestFit="1" customWidth="1"/>
    <col min="32" max="32" width="7.6640625" bestFit="1" customWidth="1"/>
    <col min="33" max="33" width="6.5546875" bestFit="1" customWidth="1"/>
    <col min="34" max="34" width="7" bestFit="1" customWidth="1"/>
    <col min="35" max="35" width="8.109375" bestFit="1" customWidth="1"/>
    <col min="36" max="36" width="8" bestFit="1" customWidth="1"/>
    <col min="37" max="37" width="6.21875" bestFit="1" customWidth="1"/>
    <col min="38" max="38" width="7.33203125" bestFit="1" customWidth="1"/>
    <col min="39" max="39" width="6.33203125" bestFit="1" customWidth="1"/>
    <col min="40" max="40" width="7.88671875" bestFit="1" customWidth="1"/>
    <col min="41" max="41" width="6.5546875" bestFit="1" customWidth="1"/>
    <col min="42" max="42" width="6.6640625" bestFit="1" customWidth="1"/>
    <col min="43" max="43" width="7.77734375" bestFit="1" customWidth="1"/>
    <col min="44" max="44" width="7.6640625" bestFit="1" customWidth="1"/>
    <col min="45" max="45" width="6.5546875" bestFit="1" customWidth="1"/>
    <col min="46" max="46" width="7" bestFit="1" customWidth="1"/>
    <col min="47" max="47" width="8.109375" bestFit="1" customWidth="1"/>
    <col min="48" max="48" width="8" bestFit="1" customWidth="1"/>
    <col min="49" max="49" width="6.21875" bestFit="1" customWidth="1"/>
    <col min="50" max="50" width="7.33203125" bestFit="1" customWidth="1"/>
    <col min="51" max="51" width="6.33203125" bestFit="1" customWidth="1"/>
    <col min="52" max="52" width="7.88671875" bestFit="1" customWidth="1"/>
    <col min="53" max="53" width="6.5546875" bestFit="1" customWidth="1"/>
    <col min="54" max="54" width="6.6640625" bestFit="1" customWidth="1"/>
    <col min="55" max="55" width="7.77734375" bestFit="1" customWidth="1"/>
    <col min="56" max="56" width="7.6640625" bestFit="1" customWidth="1"/>
    <col min="57" max="57" width="6.5546875" bestFit="1" customWidth="1"/>
    <col min="58" max="58" width="7" bestFit="1" customWidth="1"/>
    <col min="59" max="59" width="8.109375" bestFit="1" customWidth="1"/>
    <col min="60" max="60" width="8" bestFit="1" customWidth="1"/>
    <col min="61" max="61" width="6.21875" bestFit="1" customWidth="1"/>
    <col min="62" max="62" width="7.33203125" bestFit="1" customWidth="1"/>
    <col min="63" max="63" width="6.33203125" bestFit="1" customWidth="1"/>
    <col min="64" max="64" width="7.88671875" bestFit="1" customWidth="1"/>
    <col min="65" max="65" width="6.5546875" bestFit="1" customWidth="1"/>
    <col min="66" max="66" width="6.6640625" bestFit="1" customWidth="1"/>
    <col min="67" max="67" width="7.77734375" bestFit="1" customWidth="1"/>
    <col min="68" max="68" width="7.6640625" bestFit="1" customWidth="1"/>
    <col min="69" max="69" width="6.5546875" bestFit="1" customWidth="1"/>
    <col min="70" max="70" width="7" bestFit="1" customWidth="1"/>
    <col min="71" max="71" width="8.109375" bestFit="1" customWidth="1"/>
    <col min="72" max="72" width="8" bestFit="1" customWidth="1"/>
    <col min="73" max="73" width="6.21875" bestFit="1" customWidth="1"/>
    <col min="74" max="74" width="7.33203125" bestFit="1" customWidth="1"/>
    <col min="75" max="75" width="6.33203125" bestFit="1" customWidth="1"/>
    <col min="76" max="76" width="7.88671875" bestFit="1" customWidth="1"/>
    <col min="77" max="77" width="6.5546875" bestFit="1" customWidth="1"/>
    <col min="78" max="78" width="6.6640625" bestFit="1" customWidth="1"/>
    <col min="79" max="79" width="7.77734375" bestFit="1" customWidth="1"/>
    <col min="80" max="80" width="7.6640625" bestFit="1" customWidth="1"/>
    <col min="81" max="81" width="6.5546875" bestFit="1" customWidth="1"/>
    <col min="82" max="82" width="7" bestFit="1" customWidth="1"/>
    <col min="83" max="83" width="8.109375" bestFit="1" customWidth="1"/>
    <col min="84" max="84" width="8" bestFit="1" customWidth="1"/>
    <col min="85" max="85" width="6.21875" bestFit="1" customWidth="1"/>
    <col min="86" max="86" width="7.33203125" bestFit="1" customWidth="1"/>
    <col min="87" max="87" width="6.33203125" bestFit="1" customWidth="1"/>
    <col min="88" max="88" width="7.88671875" bestFit="1" customWidth="1"/>
    <col min="89" max="89" width="6.5546875" bestFit="1" customWidth="1"/>
    <col min="90" max="90" width="6.6640625" bestFit="1" customWidth="1"/>
    <col min="91" max="91" width="7.77734375" bestFit="1" customWidth="1"/>
    <col min="92" max="92" width="7.6640625" bestFit="1" customWidth="1"/>
    <col min="93" max="93" width="6.5546875" bestFit="1" customWidth="1"/>
    <col min="94" max="94" width="7" bestFit="1" customWidth="1"/>
    <col min="95" max="95" width="8.109375" bestFit="1" customWidth="1"/>
    <col min="96" max="96" width="8" bestFit="1" customWidth="1"/>
    <col min="97" max="97" width="6.21875" bestFit="1" customWidth="1"/>
    <col min="98" max="98" width="7.33203125" bestFit="1" customWidth="1"/>
    <col min="99" max="99" width="6.33203125" bestFit="1" customWidth="1"/>
    <col min="100" max="100" width="7.88671875" bestFit="1" customWidth="1"/>
    <col min="101" max="101" width="6.5546875" bestFit="1" customWidth="1"/>
    <col min="102" max="102" width="6.6640625" bestFit="1" customWidth="1"/>
    <col min="103" max="103" width="7.77734375" bestFit="1" customWidth="1"/>
    <col min="104" max="104" width="7.6640625" bestFit="1" customWidth="1"/>
    <col min="105" max="105" width="6.5546875" bestFit="1" customWidth="1"/>
    <col min="106" max="106" width="7" bestFit="1" customWidth="1"/>
    <col min="107" max="107" width="8.109375" bestFit="1" customWidth="1"/>
    <col min="108" max="108" width="8" bestFit="1" customWidth="1"/>
    <col min="109" max="109" width="6.21875" bestFit="1" customWidth="1"/>
    <col min="110" max="110" width="7.33203125" bestFit="1" customWidth="1"/>
    <col min="111" max="111" width="6.33203125" bestFit="1" customWidth="1"/>
    <col min="112" max="112" width="7.88671875" bestFit="1" customWidth="1"/>
    <col min="113" max="113" width="6.5546875" bestFit="1" customWidth="1"/>
    <col min="114" max="114" width="6.6640625" bestFit="1" customWidth="1"/>
    <col min="115" max="115" width="7.77734375" bestFit="1" customWidth="1"/>
    <col min="116" max="116" width="7.6640625" bestFit="1" customWidth="1"/>
    <col min="117" max="117" width="6.5546875" bestFit="1" customWidth="1"/>
    <col min="118" max="118" width="7" bestFit="1" customWidth="1"/>
    <col min="119" max="119" width="8.109375" bestFit="1" customWidth="1"/>
    <col min="120" max="120" width="8" bestFit="1" customWidth="1"/>
    <col min="121" max="121" width="6.21875" bestFit="1" customWidth="1"/>
    <col min="122" max="122" width="7.33203125" bestFit="1" customWidth="1"/>
    <col min="123" max="123" width="6.33203125" bestFit="1" customWidth="1"/>
    <col min="124" max="124" width="7.88671875" bestFit="1" customWidth="1"/>
    <col min="125" max="125" width="6.5546875" bestFit="1" customWidth="1"/>
  </cols>
  <sheetData>
    <row r="1" spans="1:126" ht="18">
      <c r="A1" s="108" t="s">
        <v>102</v>
      </c>
      <c r="B1" s="4">
        <f>YEAR(B2)</f>
        <v>2023</v>
      </c>
      <c r="C1" s="4">
        <f t="shared" ref="C1:BN1" si="0">YEAR(C2)</f>
        <v>2023</v>
      </c>
      <c r="D1" s="4">
        <f t="shared" si="0"/>
        <v>2023</v>
      </c>
      <c r="E1" s="4">
        <f t="shared" si="0"/>
        <v>2023</v>
      </c>
      <c r="F1" s="4">
        <f t="shared" si="0"/>
        <v>2024</v>
      </c>
      <c r="G1" s="4">
        <f t="shared" si="0"/>
        <v>2024</v>
      </c>
      <c r="H1" s="4">
        <f t="shared" si="0"/>
        <v>2024</v>
      </c>
      <c r="I1" s="4">
        <f t="shared" si="0"/>
        <v>2024</v>
      </c>
      <c r="J1" s="4">
        <f t="shared" si="0"/>
        <v>2024</v>
      </c>
      <c r="K1" s="4">
        <f t="shared" si="0"/>
        <v>2024</v>
      </c>
      <c r="L1" s="4">
        <f t="shared" si="0"/>
        <v>2024</v>
      </c>
      <c r="M1" s="4">
        <f t="shared" si="0"/>
        <v>2024</v>
      </c>
      <c r="N1" s="4">
        <f t="shared" si="0"/>
        <v>2024</v>
      </c>
      <c r="O1" s="4">
        <f t="shared" si="0"/>
        <v>2024</v>
      </c>
      <c r="P1" s="4">
        <f t="shared" si="0"/>
        <v>2024</v>
      </c>
      <c r="Q1" s="4">
        <f t="shared" si="0"/>
        <v>2024</v>
      </c>
      <c r="R1" s="4">
        <f t="shared" si="0"/>
        <v>2025</v>
      </c>
      <c r="S1" s="4">
        <f t="shared" si="0"/>
        <v>2025</v>
      </c>
      <c r="T1" s="4">
        <f t="shared" si="0"/>
        <v>2025</v>
      </c>
      <c r="U1" s="4">
        <f t="shared" si="0"/>
        <v>2025</v>
      </c>
      <c r="V1" s="4">
        <f t="shared" si="0"/>
        <v>2025</v>
      </c>
      <c r="W1" s="4">
        <f t="shared" si="0"/>
        <v>2025</v>
      </c>
      <c r="X1" s="4">
        <f t="shared" si="0"/>
        <v>2025</v>
      </c>
      <c r="Y1" s="4">
        <f t="shared" si="0"/>
        <v>2025</v>
      </c>
      <c r="Z1" s="4">
        <f t="shared" si="0"/>
        <v>2025</v>
      </c>
      <c r="AA1" s="4">
        <f t="shared" si="0"/>
        <v>2025</v>
      </c>
      <c r="AB1" s="4">
        <f t="shared" si="0"/>
        <v>2025</v>
      </c>
      <c r="AC1" s="4">
        <f t="shared" si="0"/>
        <v>2025</v>
      </c>
      <c r="AD1" s="4">
        <f t="shared" si="0"/>
        <v>2026</v>
      </c>
      <c r="AE1" s="4">
        <f t="shared" si="0"/>
        <v>2026</v>
      </c>
      <c r="AF1" s="4">
        <f t="shared" si="0"/>
        <v>2026</v>
      </c>
      <c r="AG1" s="4">
        <f t="shared" si="0"/>
        <v>2026</v>
      </c>
      <c r="AH1" s="4">
        <f t="shared" si="0"/>
        <v>2026</v>
      </c>
      <c r="AI1" s="4">
        <f t="shared" si="0"/>
        <v>2026</v>
      </c>
      <c r="AJ1" s="4">
        <f t="shared" si="0"/>
        <v>2026</v>
      </c>
      <c r="AK1" s="4">
        <f t="shared" si="0"/>
        <v>2026</v>
      </c>
      <c r="AL1" s="4">
        <f t="shared" si="0"/>
        <v>2026</v>
      </c>
      <c r="AM1" s="4">
        <f t="shared" si="0"/>
        <v>2026</v>
      </c>
      <c r="AN1" s="4">
        <f t="shared" si="0"/>
        <v>2026</v>
      </c>
      <c r="AO1" s="4">
        <f t="shared" si="0"/>
        <v>2026</v>
      </c>
      <c r="AP1" s="4">
        <f t="shared" si="0"/>
        <v>2027</v>
      </c>
      <c r="AQ1" s="4">
        <f t="shared" si="0"/>
        <v>2027</v>
      </c>
      <c r="AR1" s="4">
        <f t="shared" si="0"/>
        <v>2027</v>
      </c>
      <c r="AS1" s="4">
        <f t="shared" si="0"/>
        <v>2027</v>
      </c>
      <c r="AT1" s="4">
        <f t="shared" si="0"/>
        <v>2027</v>
      </c>
      <c r="AU1" s="4">
        <f t="shared" si="0"/>
        <v>2027</v>
      </c>
      <c r="AV1" s="4">
        <f t="shared" si="0"/>
        <v>2027</v>
      </c>
      <c r="AW1" s="4">
        <f t="shared" si="0"/>
        <v>2027</v>
      </c>
      <c r="AX1" s="4">
        <f t="shared" si="0"/>
        <v>2027</v>
      </c>
      <c r="AY1" s="4">
        <f t="shared" si="0"/>
        <v>2027</v>
      </c>
      <c r="AZ1" s="4">
        <f t="shared" si="0"/>
        <v>2027</v>
      </c>
      <c r="BA1" s="4">
        <f t="shared" si="0"/>
        <v>2027</v>
      </c>
      <c r="BB1" s="4">
        <f t="shared" si="0"/>
        <v>2028</v>
      </c>
      <c r="BC1" s="4">
        <f t="shared" si="0"/>
        <v>2028</v>
      </c>
      <c r="BD1" s="4">
        <f t="shared" si="0"/>
        <v>2028</v>
      </c>
      <c r="BE1" s="4">
        <f t="shared" si="0"/>
        <v>2028</v>
      </c>
      <c r="BF1" s="4">
        <f t="shared" si="0"/>
        <v>2028</v>
      </c>
      <c r="BG1" s="4">
        <f t="shared" si="0"/>
        <v>2028</v>
      </c>
      <c r="BH1" s="4">
        <f t="shared" si="0"/>
        <v>2028</v>
      </c>
      <c r="BI1" s="4">
        <f t="shared" si="0"/>
        <v>2028</v>
      </c>
      <c r="BJ1" s="4">
        <f t="shared" si="0"/>
        <v>2028</v>
      </c>
      <c r="BK1" s="4">
        <f t="shared" si="0"/>
        <v>2028</v>
      </c>
      <c r="BL1" s="4">
        <f t="shared" si="0"/>
        <v>2028</v>
      </c>
      <c r="BM1" s="4">
        <f t="shared" si="0"/>
        <v>2028</v>
      </c>
      <c r="BN1" s="4">
        <f t="shared" si="0"/>
        <v>2029</v>
      </c>
      <c r="BO1" s="4">
        <f t="shared" ref="BO1:DU1" si="1">YEAR(BO2)</f>
        <v>2029</v>
      </c>
      <c r="BP1" s="4">
        <f t="shared" si="1"/>
        <v>2029</v>
      </c>
      <c r="BQ1" s="4">
        <f t="shared" si="1"/>
        <v>2029</v>
      </c>
      <c r="BR1" s="4">
        <f t="shared" si="1"/>
        <v>2029</v>
      </c>
      <c r="BS1" s="4">
        <f t="shared" si="1"/>
        <v>2029</v>
      </c>
      <c r="BT1" s="4">
        <f t="shared" si="1"/>
        <v>2029</v>
      </c>
      <c r="BU1" s="4">
        <f t="shared" si="1"/>
        <v>2029</v>
      </c>
      <c r="BV1" s="4">
        <f t="shared" si="1"/>
        <v>2029</v>
      </c>
      <c r="BW1" s="4">
        <f t="shared" si="1"/>
        <v>2029</v>
      </c>
      <c r="BX1" s="4">
        <f t="shared" si="1"/>
        <v>2029</v>
      </c>
      <c r="BY1" s="4">
        <f t="shared" si="1"/>
        <v>2029</v>
      </c>
      <c r="BZ1" s="4">
        <f t="shared" si="1"/>
        <v>2030</v>
      </c>
      <c r="CA1" s="4">
        <f t="shared" si="1"/>
        <v>2030</v>
      </c>
      <c r="CB1" s="4">
        <f t="shared" si="1"/>
        <v>2030</v>
      </c>
      <c r="CC1" s="4">
        <f t="shared" si="1"/>
        <v>2030</v>
      </c>
      <c r="CD1" s="4">
        <f t="shared" si="1"/>
        <v>2030</v>
      </c>
      <c r="CE1" s="4">
        <f t="shared" si="1"/>
        <v>2030</v>
      </c>
      <c r="CF1" s="4">
        <f t="shared" si="1"/>
        <v>2030</v>
      </c>
      <c r="CG1" s="4">
        <f t="shared" si="1"/>
        <v>2030</v>
      </c>
      <c r="CH1" s="4">
        <f t="shared" si="1"/>
        <v>2030</v>
      </c>
      <c r="CI1" s="4">
        <f t="shared" si="1"/>
        <v>2030</v>
      </c>
      <c r="CJ1" s="4">
        <f t="shared" si="1"/>
        <v>2030</v>
      </c>
      <c r="CK1" s="4">
        <f t="shared" si="1"/>
        <v>2030</v>
      </c>
      <c r="CL1" s="4">
        <f t="shared" si="1"/>
        <v>2031</v>
      </c>
      <c r="CM1" s="4">
        <f t="shared" si="1"/>
        <v>2031</v>
      </c>
      <c r="CN1" s="4">
        <f t="shared" si="1"/>
        <v>2031</v>
      </c>
      <c r="CO1" s="4">
        <f t="shared" si="1"/>
        <v>2031</v>
      </c>
      <c r="CP1" s="4">
        <f t="shared" si="1"/>
        <v>2031</v>
      </c>
      <c r="CQ1" s="4">
        <f t="shared" si="1"/>
        <v>2031</v>
      </c>
      <c r="CR1" s="4">
        <f t="shared" si="1"/>
        <v>2031</v>
      </c>
      <c r="CS1" s="4">
        <f t="shared" si="1"/>
        <v>2031</v>
      </c>
      <c r="CT1" s="4">
        <f t="shared" si="1"/>
        <v>2031</v>
      </c>
      <c r="CU1" s="4">
        <f t="shared" si="1"/>
        <v>2031</v>
      </c>
      <c r="CV1" s="4">
        <f t="shared" si="1"/>
        <v>2031</v>
      </c>
      <c r="CW1" s="4">
        <f t="shared" si="1"/>
        <v>2031</v>
      </c>
      <c r="CX1" s="4">
        <f t="shared" si="1"/>
        <v>2032</v>
      </c>
      <c r="CY1" s="4">
        <f t="shared" si="1"/>
        <v>2032</v>
      </c>
      <c r="CZ1" s="4">
        <f t="shared" si="1"/>
        <v>2032</v>
      </c>
      <c r="DA1" s="4">
        <f t="shared" si="1"/>
        <v>2032</v>
      </c>
      <c r="DB1" s="4">
        <f t="shared" si="1"/>
        <v>2032</v>
      </c>
      <c r="DC1" s="4">
        <f t="shared" si="1"/>
        <v>2032</v>
      </c>
      <c r="DD1" s="4">
        <f t="shared" si="1"/>
        <v>2032</v>
      </c>
      <c r="DE1" s="4">
        <f t="shared" si="1"/>
        <v>2032</v>
      </c>
      <c r="DF1" s="4">
        <f t="shared" si="1"/>
        <v>2032</v>
      </c>
      <c r="DG1" s="4">
        <f t="shared" si="1"/>
        <v>2032</v>
      </c>
      <c r="DH1" s="4">
        <f t="shared" si="1"/>
        <v>2032</v>
      </c>
      <c r="DI1" s="4">
        <f t="shared" si="1"/>
        <v>2032</v>
      </c>
      <c r="DJ1" s="4">
        <f t="shared" si="1"/>
        <v>2033</v>
      </c>
      <c r="DK1" s="4">
        <f t="shared" si="1"/>
        <v>2033</v>
      </c>
      <c r="DL1" s="4">
        <f t="shared" si="1"/>
        <v>2033</v>
      </c>
      <c r="DM1" s="4">
        <f t="shared" si="1"/>
        <v>2033</v>
      </c>
      <c r="DN1" s="4">
        <f t="shared" si="1"/>
        <v>2033</v>
      </c>
      <c r="DO1" s="4">
        <f t="shared" si="1"/>
        <v>2033</v>
      </c>
      <c r="DP1" s="4">
        <f t="shared" si="1"/>
        <v>2033</v>
      </c>
      <c r="DQ1" s="4">
        <f t="shared" si="1"/>
        <v>2033</v>
      </c>
      <c r="DR1" s="4">
        <f t="shared" si="1"/>
        <v>2033</v>
      </c>
      <c r="DS1" s="4">
        <f t="shared" si="1"/>
        <v>2033</v>
      </c>
      <c r="DT1" s="4">
        <f t="shared" si="1"/>
        <v>2033</v>
      </c>
      <c r="DU1" s="4">
        <f t="shared" si="1"/>
        <v>2033</v>
      </c>
      <c r="DV1" s="4"/>
    </row>
    <row r="2" spans="1:126">
      <c r="A2" s="109" t="s">
        <v>127</v>
      </c>
      <c r="B2" s="85">
        <v>45170</v>
      </c>
      <c r="C2" s="85">
        <v>45200</v>
      </c>
      <c r="D2" s="85">
        <v>45231</v>
      </c>
      <c r="E2" s="85">
        <v>45261</v>
      </c>
      <c r="F2" s="85">
        <v>45292</v>
      </c>
      <c r="G2" s="85">
        <v>45323</v>
      </c>
      <c r="H2" s="85">
        <v>45352</v>
      </c>
      <c r="I2" s="85">
        <v>45383</v>
      </c>
      <c r="J2" s="85">
        <v>45413</v>
      </c>
      <c r="K2" s="85">
        <v>45444</v>
      </c>
      <c r="L2" s="85">
        <v>45474</v>
      </c>
      <c r="M2" s="85">
        <v>45505</v>
      </c>
      <c r="N2" s="85">
        <v>45536</v>
      </c>
      <c r="O2" s="85">
        <v>45566</v>
      </c>
      <c r="P2" s="85">
        <v>45597</v>
      </c>
      <c r="Q2" s="85">
        <v>45627</v>
      </c>
      <c r="R2" s="85">
        <v>45658</v>
      </c>
      <c r="S2" s="85">
        <v>45689</v>
      </c>
      <c r="T2" s="85">
        <v>45717</v>
      </c>
      <c r="U2" s="85">
        <v>45748</v>
      </c>
      <c r="V2" s="85">
        <v>45778</v>
      </c>
      <c r="W2" s="85">
        <v>45809</v>
      </c>
      <c r="X2" s="85">
        <v>45839</v>
      </c>
      <c r="Y2" s="85">
        <v>45870</v>
      </c>
      <c r="Z2" s="85">
        <v>45901</v>
      </c>
      <c r="AA2" s="85">
        <v>45931</v>
      </c>
      <c r="AB2" s="85">
        <v>45962</v>
      </c>
      <c r="AC2" s="85">
        <v>45992</v>
      </c>
      <c r="AD2" s="85">
        <v>46023</v>
      </c>
      <c r="AE2" s="85">
        <v>46054</v>
      </c>
      <c r="AF2" s="85">
        <v>46082</v>
      </c>
      <c r="AG2" s="85">
        <v>46113</v>
      </c>
      <c r="AH2" s="85">
        <v>46143</v>
      </c>
      <c r="AI2" s="85">
        <v>46174</v>
      </c>
      <c r="AJ2" s="85">
        <v>46204</v>
      </c>
      <c r="AK2" s="85">
        <v>46235</v>
      </c>
      <c r="AL2" s="85">
        <v>46266</v>
      </c>
      <c r="AM2" s="85">
        <v>46296</v>
      </c>
      <c r="AN2" s="85">
        <v>46327</v>
      </c>
      <c r="AO2" s="85">
        <v>46357</v>
      </c>
      <c r="AP2" s="85">
        <v>46388</v>
      </c>
      <c r="AQ2" s="85">
        <v>46419</v>
      </c>
      <c r="AR2" s="85">
        <v>46447</v>
      </c>
      <c r="AS2" s="85">
        <v>46478</v>
      </c>
      <c r="AT2" s="85">
        <v>46508</v>
      </c>
      <c r="AU2" s="85">
        <v>46539</v>
      </c>
      <c r="AV2" s="85">
        <v>46569</v>
      </c>
      <c r="AW2" s="85">
        <v>46600</v>
      </c>
      <c r="AX2" s="85">
        <v>46631</v>
      </c>
      <c r="AY2" s="85">
        <v>46661</v>
      </c>
      <c r="AZ2" s="85">
        <v>46692</v>
      </c>
      <c r="BA2" s="85">
        <v>46722</v>
      </c>
      <c r="BB2" s="85">
        <v>46753</v>
      </c>
      <c r="BC2" s="85">
        <v>46784</v>
      </c>
      <c r="BD2" s="85">
        <v>46813</v>
      </c>
      <c r="BE2" s="85">
        <v>46844</v>
      </c>
      <c r="BF2" s="85">
        <v>46874</v>
      </c>
      <c r="BG2" s="85">
        <v>46905</v>
      </c>
      <c r="BH2" s="85">
        <v>46935</v>
      </c>
      <c r="BI2" s="85">
        <v>46966</v>
      </c>
      <c r="BJ2" s="85">
        <v>46997</v>
      </c>
      <c r="BK2" s="85">
        <v>47027</v>
      </c>
      <c r="BL2" s="85">
        <v>47058</v>
      </c>
      <c r="BM2" s="85">
        <v>47088</v>
      </c>
      <c r="BN2" s="85">
        <v>47119</v>
      </c>
      <c r="BO2" s="85">
        <v>47150</v>
      </c>
      <c r="BP2" s="85">
        <v>47178</v>
      </c>
      <c r="BQ2" s="85">
        <v>47209</v>
      </c>
      <c r="BR2" s="85">
        <v>47239</v>
      </c>
      <c r="BS2" s="85">
        <v>47270</v>
      </c>
      <c r="BT2" s="85">
        <v>47300</v>
      </c>
      <c r="BU2" s="85">
        <v>47331</v>
      </c>
      <c r="BV2" s="85">
        <v>47362</v>
      </c>
      <c r="BW2" s="85">
        <v>47392</v>
      </c>
      <c r="BX2" s="85">
        <v>47423</v>
      </c>
      <c r="BY2" s="85">
        <v>47453</v>
      </c>
      <c r="BZ2" s="85">
        <v>47484</v>
      </c>
      <c r="CA2" s="85">
        <v>47515</v>
      </c>
      <c r="CB2" s="85">
        <v>47543</v>
      </c>
      <c r="CC2" s="85">
        <v>47574</v>
      </c>
      <c r="CD2" s="85">
        <v>47604</v>
      </c>
      <c r="CE2" s="85">
        <v>47635</v>
      </c>
      <c r="CF2" s="85">
        <v>47665</v>
      </c>
      <c r="CG2" s="85">
        <v>47696</v>
      </c>
      <c r="CH2" s="85">
        <v>47727</v>
      </c>
      <c r="CI2" s="85">
        <v>47757</v>
      </c>
      <c r="CJ2" s="85">
        <v>47788</v>
      </c>
      <c r="CK2" s="85">
        <v>47818</v>
      </c>
      <c r="CL2" s="85">
        <v>47849</v>
      </c>
      <c r="CM2" s="85">
        <v>47880</v>
      </c>
      <c r="CN2" s="85">
        <v>47908</v>
      </c>
      <c r="CO2" s="85">
        <v>47939</v>
      </c>
      <c r="CP2" s="85">
        <v>47969</v>
      </c>
      <c r="CQ2" s="85">
        <v>48000</v>
      </c>
      <c r="CR2" s="85">
        <v>48030</v>
      </c>
      <c r="CS2" s="85">
        <v>48061</v>
      </c>
      <c r="CT2" s="85">
        <v>48092</v>
      </c>
      <c r="CU2" s="85">
        <v>48122</v>
      </c>
      <c r="CV2" s="85">
        <v>48153</v>
      </c>
      <c r="CW2" s="85">
        <v>48183</v>
      </c>
      <c r="CX2" s="85">
        <v>48214</v>
      </c>
      <c r="CY2" s="85">
        <v>48245</v>
      </c>
      <c r="CZ2" s="85">
        <v>48274</v>
      </c>
      <c r="DA2" s="85">
        <v>48305</v>
      </c>
      <c r="DB2" s="85">
        <v>48335</v>
      </c>
      <c r="DC2" s="85">
        <v>48366</v>
      </c>
      <c r="DD2" s="85">
        <v>48396</v>
      </c>
      <c r="DE2" s="85">
        <v>48427</v>
      </c>
      <c r="DF2" s="85">
        <v>48458</v>
      </c>
      <c r="DG2" s="85">
        <v>48488</v>
      </c>
      <c r="DH2" s="85">
        <v>48519</v>
      </c>
      <c r="DI2" s="85">
        <v>48549</v>
      </c>
      <c r="DJ2" s="85">
        <v>48580</v>
      </c>
      <c r="DK2" s="85">
        <v>48611</v>
      </c>
      <c r="DL2" s="85">
        <v>48639</v>
      </c>
      <c r="DM2" s="85">
        <v>48670</v>
      </c>
      <c r="DN2" s="85">
        <v>48700</v>
      </c>
      <c r="DO2" s="85">
        <v>48731</v>
      </c>
      <c r="DP2" s="85">
        <v>48761</v>
      </c>
      <c r="DQ2" s="85">
        <v>48792</v>
      </c>
      <c r="DR2" s="85">
        <v>48823</v>
      </c>
      <c r="DS2" s="85">
        <v>48853</v>
      </c>
      <c r="DT2" s="85">
        <v>48884</v>
      </c>
      <c r="DU2" s="85">
        <v>48914</v>
      </c>
      <c r="DV2" s="85"/>
    </row>
    <row r="3" spans="1:126" ht="28.8">
      <c r="A3" s="87" t="s">
        <v>133</v>
      </c>
      <c r="B3" s="86"/>
    </row>
    <row r="4" spans="1:126">
      <c r="A4" s="87" t="s">
        <v>134</v>
      </c>
      <c r="B4" s="86"/>
    </row>
    <row r="5" spans="1:126" ht="28.8">
      <c r="A5" s="87" t="s">
        <v>359</v>
      </c>
      <c r="B5" s="86"/>
    </row>
    <row r="6" spans="1:126">
      <c r="A6" s="87" t="s">
        <v>128</v>
      </c>
      <c r="B6" s="86"/>
      <c r="C6" s="86"/>
    </row>
    <row r="7" spans="1:126">
      <c r="A7" s="87" t="s">
        <v>129</v>
      </c>
      <c r="C7" s="86"/>
      <c r="D7" s="86"/>
      <c r="E7" s="86"/>
      <c r="F7" s="86"/>
      <c r="G7" s="86"/>
      <c r="H7" s="86"/>
    </row>
    <row r="8" spans="1:126">
      <c r="A8" s="87" t="s">
        <v>130</v>
      </c>
      <c r="H8" s="86"/>
      <c r="I8" s="86"/>
      <c r="J8" s="86"/>
    </row>
    <row r="9" spans="1:126">
      <c r="A9" s="87" t="s">
        <v>125</v>
      </c>
      <c r="K9" s="86"/>
      <c r="L9" s="86"/>
      <c r="M9" s="86"/>
      <c r="N9" s="86"/>
      <c r="O9" s="86"/>
      <c r="P9" s="86"/>
    </row>
    <row r="10" spans="1:126" ht="28.8">
      <c r="A10" s="87" t="s">
        <v>131</v>
      </c>
      <c r="E10" s="86"/>
    </row>
    <row r="11" spans="1:126">
      <c r="A11" s="87" t="s">
        <v>132</v>
      </c>
      <c r="K11" s="86"/>
      <c r="L11" s="86"/>
      <c r="M11" s="86"/>
      <c r="N11" s="86"/>
      <c r="O11" s="86"/>
      <c r="P11" s="86"/>
    </row>
    <row r="12" spans="1:126">
      <c r="A12" s="87" t="s">
        <v>135</v>
      </c>
      <c r="N12" s="86"/>
      <c r="O12" s="86"/>
      <c r="P12" s="86"/>
    </row>
    <row r="13" spans="1:126">
      <c r="A13" s="87" t="s">
        <v>136</v>
      </c>
      <c r="P13" s="86"/>
      <c r="Q13" s="86"/>
    </row>
    <row r="14" spans="1:126">
      <c r="A14" s="87" t="s">
        <v>137</v>
      </c>
      <c r="P14" s="86"/>
      <c r="Q14" s="8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44820-834A-48B4-87EF-A32061862036}">
  <dimension ref="A1:EQ124"/>
  <sheetViews>
    <sheetView topLeftCell="A13" workbookViewId="0">
      <selection activeCell="R22" sqref="R22"/>
    </sheetView>
  </sheetViews>
  <sheetFormatPr defaultRowHeight="14.4"/>
  <cols>
    <col min="1" max="1" width="38.21875" style="87" bestFit="1" customWidth="1"/>
    <col min="2" max="2" width="8.44140625" style="87" bestFit="1" customWidth="1"/>
    <col min="3" max="3" width="7.77734375" style="87" bestFit="1" customWidth="1"/>
    <col min="4" max="4" width="7.6640625" style="87" bestFit="1" customWidth="1"/>
    <col min="5" max="5" width="6.5546875" style="87" bestFit="1" customWidth="1"/>
    <col min="6" max="6" width="7" style="87" bestFit="1" customWidth="1"/>
    <col min="7" max="7" width="8.109375" style="87" bestFit="1" customWidth="1"/>
    <col min="8" max="8" width="8" style="87" bestFit="1" customWidth="1"/>
    <col min="9" max="9" width="6.5546875" style="87" bestFit="1" customWidth="1"/>
    <col min="10" max="10" width="7.33203125" style="87" bestFit="1" customWidth="1"/>
    <col min="11" max="11" width="6.33203125" style="87" bestFit="1" customWidth="1"/>
    <col min="12" max="12" width="7.88671875" style="87" bestFit="1" customWidth="1"/>
    <col min="13" max="13" width="6.6640625" style="87" bestFit="1" customWidth="1"/>
    <col min="14" max="14" width="14.21875" style="87" bestFit="1" customWidth="1"/>
    <col min="15" max="15" width="20.33203125" style="87" customWidth="1"/>
    <col min="16" max="16" width="10.33203125" style="87" bestFit="1" customWidth="1"/>
    <col min="17" max="17" width="7.6640625" bestFit="1" customWidth="1"/>
    <col min="18" max="18" width="6.5546875" bestFit="1" customWidth="1"/>
    <col min="19" max="19" width="7" bestFit="1" customWidth="1"/>
    <col min="20" max="20" width="8.109375" bestFit="1" customWidth="1"/>
    <col min="21" max="21" width="8" bestFit="1" customWidth="1"/>
    <col min="22" max="22" width="6.21875" bestFit="1" customWidth="1"/>
    <col min="23" max="23" width="7.33203125" bestFit="1" customWidth="1"/>
    <col min="24" max="24" width="6.33203125" bestFit="1" customWidth="1"/>
    <col min="25" max="25" width="7.88671875" bestFit="1" customWidth="1"/>
    <col min="26" max="26" width="6.5546875" bestFit="1" customWidth="1"/>
    <col min="27" max="27" width="6.6640625" bestFit="1" customWidth="1"/>
    <col min="28" max="28" width="7.77734375" bestFit="1" customWidth="1"/>
    <col min="29" max="29" width="7.6640625" bestFit="1" customWidth="1"/>
    <col min="30" max="30" width="6.5546875" bestFit="1" customWidth="1"/>
    <col min="31" max="31" width="7" bestFit="1" customWidth="1"/>
    <col min="32" max="32" width="8.109375" bestFit="1" customWidth="1"/>
    <col min="33" max="33" width="8" bestFit="1" customWidth="1"/>
    <col min="34" max="34" width="6.21875" bestFit="1" customWidth="1"/>
    <col min="35" max="35" width="7.33203125" bestFit="1" customWidth="1"/>
    <col min="36" max="36" width="6.33203125" bestFit="1" customWidth="1"/>
    <col min="37" max="37" width="7.88671875" bestFit="1" customWidth="1"/>
    <col min="38" max="38" width="6.5546875" bestFit="1" customWidth="1"/>
    <col min="39" max="39" width="6.6640625" bestFit="1" customWidth="1"/>
    <col min="40" max="40" width="7.77734375" bestFit="1" customWidth="1"/>
    <col min="41" max="41" width="7.6640625" bestFit="1" customWidth="1"/>
    <col min="42" max="42" width="6.5546875" bestFit="1" customWidth="1"/>
    <col min="43" max="43" width="7" bestFit="1" customWidth="1"/>
    <col min="44" max="44" width="8.109375" bestFit="1" customWidth="1"/>
    <col min="45" max="45" width="8" bestFit="1" customWidth="1"/>
    <col min="46" max="46" width="6.21875" bestFit="1" customWidth="1"/>
    <col min="47" max="47" width="7.33203125" bestFit="1" customWidth="1"/>
    <col min="48" max="48" width="6.33203125" bestFit="1" customWidth="1"/>
    <col min="49" max="49" width="7.88671875" bestFit="1" customWidth="1"/>
    <col min="50" max="50" width="6.5546875" bestFit="1" customWidth="1"/>
    <col min="51" max="51" width="6.6640625" bestFit="1" customWidth="1"/>
    <col min="52" max="52" width="7.77734375" bestFit="1" customWidth="1"/>
    <col min="53" max="53" width="7.6640625" bestFit="1" customWidth="1"/>
    <col min="54" max="54" width="6.5546875" bestFit="1" customWidth="1"/>
    <col min="55" max="55" width="7" bestFit="1" customWidth="1"/>
    <col min="56" max="56" width="8.109375" bestFit="1" customWidth="1"/>
    <col min="57" max="57" width="8" bestFit="1" customWidth="1"/>
    <col min="58" max="58" width="6.21875" bestFit="1" customWidth="1"/>
    <col min="59" max="59" width="7.33203125" bestFit="1" customWidth="1"/>
    <col min="60" max="60" width="6.33203125" bestFit="1" customWidth="1"/>
    <col min="61" max="61" width="7.88671875" bestFit="1" customWidth="1"/>
    <col min="62" max="62" width="6.5546875" bestFit="1" customWidth="1"/>
    <col min="63" max="63" width="6.6640625" bestFit="1" customWidth="1"/>
    <col min="64" max="64" width="7.77734375" bestFit="1" customWidth="1"/>
    <col min="65" max="65" width="7.6640625" bestFit="1" customWidth="1"/>
    <col min="66" max="66" width="6.5546875" bestFit="1" customWidth="1"/>
    <col min="67" max="67" width="7" bestFit="1" customWidth="1"/>
    <col min="68" max="68" width="8.109375" bestFit="1" customWidth="1"/>
    <col min="69" max="69" width="8" bestFit="1" customWidth="1"/>
    <col min="70" max="70" width="6.21875" bestFit="1" customWidth="1"/>
    <col min="71" max="71" width="7.33203125" bestFit="1" customWidth="1"/>
    <col min="72" max="72" width="6.33203125" bestFit="1" customWidth="1"/>
    <col min="73" max="73" width="7.88671875" bestFit="1" customWidth="1"/>
    <col min="74" max="74" width="6.5546875" bestFit="1" customWidth="1"/>
    <col min="75" max="75" width="6.6640625" bestFit="1" customWidth="1"/>
    <col min="76" max="76" width="7.77734375" bestFit="1" customWidth="1"/>
    <col min="77" max="77" width="7.6640625" bestFit="1" customWidth="1"/>
    <col min="78" max="78" width="6.5546875" bestFit="1" customWidth="1"/>
    <col min="79" max="79" width="7" bestFit="1" customWidth="1"/>
    <col min="80" max="80" width="8.109375" bestFit="1" customWidth="1"/>
    <col min="81" max="81" width="8" bestFit="1" customWidth="1"/>
    <col min="82" max="82" width="6.21875" bestFit="1" customWidth="1"/>
    <col min="83" max="83" width="7.33203125" bestFit="1" customWidth="1"/>
    <col min="84" max="84" width="6.33203125" bestFit="1" customWidth="1"/>
    <col min="85" max="85" width="7.88671875" bestFit="1" customWidth="1"/>
    <col min="86" max="86" width="6.5546875" bestFit="1" customWidth="1"/>
    <col min="87" max="87" width="6.6640625" bestFit="1" customWidth="1"/>
    <col min="88" max="88" width="7.77734375" bestFit="1" customWidth="1"/>
    <col min="89" max="89" width="7.6640625" bestFit="1" customWidth="1"/>
    <col min="90" max="90" width="6.5546875" bestFit="1" customWidth="1"/>
    <col min="91" max="91" width="7" bestFit="1" customWidth="1"/>
    <col min="92" max="92" width="8.109375" bestFit="1" customWidth="1"/>
    <col min="93" max="93" width="8" bestFit="1" customWidth="1"/>
    <col min="94" max="94" width="6.21875" bestFit="1" customWidth="1"/>
    <col min="95" max="95" width="7.33203125" bestFit="1" customWidth="1"/>
    <col min="96" max="96" width="6.33203125" bestFit="1" customWidth="1"/>
    <col min="97" max="97" width="7.88671875" bestFit="1" customWidth="1"/>
    <col min="98" max="98" width="6.5546875" bestFit="1" customWidth="1"/>
    <col min="99" max="99" width="6.6640625" bestFit="1" customWidth="1"/>
    <col min="100" max="100" width="7.77734375" bestFit="1" customWidth="1"/>
    <col min="101" max="101" width="7.6640625" bestFit="1" customWidth="1"/>
    <col min="102" max="102" width="6.5546875" bestFit="1" customWidth="1"/>
    <col min="103" max="103" width="7" bestFit="1" customWidth="1"/>
    <col min="104" max="104" width="8.109375" bestFit="1" customWidth="1"/>
    <col min="105" max="105" width="8" bestFit="1" customWidth="1"/>
    <col min="106" max="106" width="6.21875" bestFit="1" customWidth="1"/>
    <col min="107" max="107" width="7.33203125" bestFit="1" customWidth="1"/>
    <col min="108" max="108" width="6.33203125" bestFit="1" customWidth="1"/>
    <col min="109" max="109" width="7.88671875" bestFit="1" customWidth="1"/>
    <col min="110" max="110" width="6.5546875" bestFit="1" customWidth="1"/>
    <col min="111" max="111" width="6.6640625" bestFit="1" customWidth="1"/>
    <col min="112" max="112" width="7.77734375" bestFit="1" customWidth="1"/>
    <col min="113" max="113" width="7.6640625" bestFit="1" customWidth="1"/>
    <col min="114" max="114" width="6.5546875" bestFit="1" customWidth="1"/>
    <col min="115" max="115" width="7" bestFit="1" customWidth="1"/>
    <col min="116" max="116" width="8.109375" bestFit="1" customWidth="1"/>
    <col min="117" max="117" width="8" bestFit="1" customWidth="1"/>
    <col min="118" max="118" width="6.21875" bestFit="1" customWidth="1"/>
    <col min="119" max="119" width="7.33203125" bestFit="1" customWidth="1"/>
    <col min="120" max="120" width="6.33203125" bestFit="1" customWidth="1"/>
    <col min="121" max="121" width="7.88671875" bestFit="1" customWidth="1"/>
    <col min="122" max="122" width="6.5546875" bestFit="1" customWidth="1"/>
    <col min="123" max="123" width="6.6640625" bestFit="1" customWidth="1"/>
    <col min="124" max="124" width="7.77734375" bestFit="1" customWidth="1"/>
    <col min="125" max="125" width="7.6640625" bestFit="1" customWidth="1"/>
    <col min="126" max="126" width="6.5546875" bestFit="1" customWidth="1"/>
    <col min="127" max="127" width="7" bestFit="1" customWidth="1"/>
    <col min="128" max="128" width="8.109375" bestFit="1" customWidth="1"/>
    <col min="129" max="129" width="8" bestFit="1" customWidth="1"/>
    <col min="130" max="130" width="6.21875" bestFit="1" customWidth="1"/>
    <col min="131" max="131" width="7.33203125" bestFit="1" customWidth="1"/>
    <col min="132" max="132" width="6.33203125" bestFit="1" customWidth="1"/>
    <col min="133" max="133" width="7.88671875" bestFit="1" customWidth="1"/>
    <col min="134" max="134" width="6.5546875" bestFit="1" customWidth="1"/>
    <col min="135" max="135" width="6.6640625" bestFit="1" customWidth="1"/>
    <col min="136" max="136" width="7.77734375" bestFit="1" customWidth="1"/>
    <col min="137" max="137" width="7.6640625" bestFit="1" customWidth="1"/>
    <col min="138" max="138" width="6.5546875" bestFit="1" customWidth="1"/>
    <col min="139" max="139" width="7" bestFit="1" customWidth="1"/>
    <col min="140" max="140" width="8.109375" bestFit="1" customWidth="1"/>
    <col min="141" max="141" width="8" bestFit="1" customWidth="1"/>
    <col min="142" max="142" width="6.21875" bestFit="1" customWidth="1"/>
    <col min="143" max="143" width="7.33203125" bestFit="1" customWidth="1"/>
    <col min="144" max="144" width="6.33203125" bestFit="1" customWidth="1"/>
    <col min="145" max="145" width="7.88671875" bestFit="1" customWidth="1"/>
    <col min="146" max="146" width="6.5546875" bestFit="1" customWidth="1"/>
  </cols>
  <sheetData>
    <row r="1" spans="1:147" ht="18">
      <c r="A1" s="108" t="s">
        <v>158</v>
      </c>
      <c r="B1" s="4">
        <f t="shared" ref="B1:M1" si="0">YEAR(B2)</f>
        <v>2022</v>
      </c>
      <c r="C1" s="4">
        <f t="shared" si="0"/>
        <v>2022</v>
      </c>
      <c r="D1" s="4">
        <f t="shared" si="0"/>
        <v>2022</v>
      </c>
      <c r="E1" s="4">
        <f t="shared" si="0"/>
        <v>2022</v>
      </c>
      <c r="F1" s="4">
        <f t="shared" si="0"/>
        <v>2022</v>
      </c>
      <c r="G1" s="4">
        <f t="shared" si="0"/>
        <v>2022</v>
      </c>
      <c r="H1" s="4">
        <f t="shared" si="0"/>
        <v>2022</v>
      </c>
      <c r="I1" s="4">
        <f t="shared" si="0"/>
        <v>2022</v>
      </c>
      <c r="J1" s="4">
        <f t="shared" si="0"/>
        <v>2022</v>
      </c>
      <c r="K1" s="4">
        <f t="shared" si="0"/>
        <v>2022</v>
      </c>
      <c r="L1" s="4">
        <f t="shared" si="0"/>
        <v>2022</v>
      </c>
      <c r="M1" s="4">
        <f t="shared" si="0"/>
        <v>2022</v>
      </c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</row>
    <row r="2" spans="1:147">
      <c r="A2" s="110"/>
      <c r="B2" s="85">
        <v>44562</v>
      </c>
      <c r="C2" s="85">
        <v>44593</v>
      </c>
      <c r="D2" s="85">
        <v>44621</v>
      </c>
      <c r="E2" s="85">
        <v>44652</v>
      </c>
      <c r="F2" s="85">
        <v>44682</v>
      </c>
      <c r="G2" s="85">
        <v>44713</v>
      </c>
      <c r="H2" s="85">
        <v>44743</v>
      </c>
      <c r="I2" s="85">
        <v>44774</v>
      </c>
      <c r="J2" s="85">
        <v>44805</v>
      </c>
      <c r="K2" s="85">
        <v>44835</v>
      </c>
      <c r="L2" s="85">
        <v>44866</v>
      </c>
      <c r="M2" s="85">
        <v>44896</v>
      </c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spans="1:147">
      <c r="A3" s="87" t="s">
        <v>219</v>
      </c>
      <c r="B3" s="52">
        <v>143</v>
      </c>
      <c r="C3" s="52">
        <v>148</v>
      </c>
      <c r="D3" s="52">
        <v>166</v>
      </c>
      <c r="E3" s="52">
        <v>180</v>
      </c>
      <c r="F3" s="52">
        <v>194</v>
      </c>
      <c r="G3" s="52">
        <v>197</v>
      </c>
      <c r="H3" s="52">
        <v>183</v>
      </c>
      <c r="I3" s="52">
        <v>175</v>
      </c>
      <c r="J3" s="52">
        <v>160</v>
      </c>
      <c r="K3" s="52">
        <v>154</v>
      </c>
      <c r="L3" s="52">
        <v>155</v>
      </c>
      <c r="M3" s="52">
        <v>157</v>
      </c>
      <c r="N3" s="111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147">
      <c r="A4" s="87" t="s">
        <v>220</v>
      </c>
      <c r="B4" s="52">
        <v>145</v>
      </c>
      <c r="C4" s="52">
        <v>149</v>
      </c>
      <c r="D4" s="52">
        <v>165</v>
      </c>
      <c r="E4" s="52">
        <v>186</v>
      </c>
      <c r="F4" s="52">
        <v>201</v>
      </c>
      <c r="G4" s="52">
        <v>213</v>
      </c>
      <c r="H4" s="52">
        <v>203</v>
      </c>
      <c r="I4" s="52">
        <v>193</v>
      </c>
      <c r="J4" s="52">
        <v>162</v>
      </c>
      <c r="K4" s="52">
        <v>151</v>
      </c>
      <c r="L4" s="52">
        <v>145</v>
      </c>
      <c r="M4" s="52">
        <v>149</v>
      </c>
      <c r="N4" s="111"/>
    </row>
    <row r="5" spans="1:147">
      <c r="A5" s="87" t="s">
        <v>221</v>
      </c>
      <c r="B5" s="52">
        <v>89</v>
      </c>
      <c r="C5" s="52">
        <v>90</v>
      </c>
      <c r="D5" s="52">
        <v>106</v>
      </c>
      <c r="E5" s="52">
        <v>137</v>
      </c>
      <c r="F5" s="52">
        <v>155</v>
      </c>
      <c r="G5" s="52">
        <v>173</v>
      </c>
      <c r="H5" s="52">
        <v>192</v>
      </c>
      <c r="I5" s="52">
        <v>188</v>
      </c>
      <c r="J5" s="52">
        <v>125</v>
      </c>
      <c r="K5" s="52">
        <v>116</v>
      </c>
      <c r="L5" s="52">
        <v>116</v>
      </c>
      <c r="M5" s="52">
        <v>143</v>
      </c>
      <c r="N5" s="111"/>
    </row>
    <row r="6" spans="1:147">
      <c r="A6" s="87" t="s">
        <v>222</v>
      </c>
      <c r="B6" s="52">
        <v>145</v>
      </c>
      <c r="C6" s="52">
        <v>169</v>
      </c>
      <c r="D6" s="52">
        <v>235</v>
      </c>
      <c r="E6" s="52">
        <v>277</v>
      </c>
      <c r="F6" s="52">
        <v>198</v>
      </c>
      <c r="G6" s="52">
        <v>159</v>
      </c>
      <c r="H6" s="52">
        <v>121</v>
      </c>
      <c r="I6" s="52">
        <v>105</v>
      </c>
      <c r="J6" s="52">
        <v>100</v>
      </c>
      <c r="K6" s="52">
        <v>97</v>
      </c>
      <c r="L6" s="52">
        <v>100</v>
      </c>
      <c r="M6" s="52">
        <v>103</v>
      </c>
      <c r="N6" s="111"/>
    </row>
    <row r="8" spans="1:147">
      <c r="A8" s="109" t="s">
        <v>223</v>
      </c>
      <c r="B8" s="85">
        <f>B2</f>
        <v>44562</v>
      </c>
      <c r="C8" s="85">
        <f t="shared" ref="C8:M8" si="1">C2</f>
        <v>44593</v>
      </c>
      <c r="D8" s="85">
        <f t="shared" si="1"/>
        <v>44621</v>
      </c>
      <c r="E8" s="85">
        <f t="shared" si="1"/>
        <v>44652</v>
      </c>
      <c r="F8" s="85">
        <f t="shared" si="1"/>
        <v>44682</v>
      </c>
      <c r="G8" s="85">
        <f t="shared" si="1"/>
        <v>44713</v>
      </c>
      <c r="H8" s="85">
        <f t="shared" si="1"/>
        <v>44743</v>
      </c>
      <c r="I8" s="85">
        <f t="shared" si="1"/>
        <v>44774</v>
      </c>
      <c r="J8" s="85">
        <f t="shared" si="1"/>
        <v>44805</v>
      </c>
      <c r="K8" s="85">
        <f t="shared" si="1"/>
        <v>44835</v>
      </c>
      <c r="L8" s="85">
        <f t="shared" si="1"/>
        <v>44866</v>
      </c>
      <c r="M8" s="85">
        <f t="shared" si="1"/>
        <v>44896</v>
      </c>
    </row>
    <row r="9" spans="1:147">
      <c r="A9" s="87" t="str">
        <f>A3</f>
        <v>Картофель</v>
      </c>
      <c r="B9" s="112">
        <f>M9</f>
        <v>1.2903225806451646E-2</v>
      </c>
      <c r="C9" s="112">
        <f>C3/B3-100%</f>
        <v>3.4965034965035002E-2</v>
      </c>
      <c r="D9" s="112">
        <f t="shared" ref="D9:M9" si="2">D3/C3-100%</f>
        <v>0.12162162162162171</v>
      </c>
      <c r="E9" s="112">
        <f t="shared" si="2"/>
        <v>8.43373493975903E-2</v>
      </c>
      <c r="F9" s="112">
        <f t="shared" si="2"/>
        <v>7.7777777777777724E-2</v>
      </c>
      <c r="G9" s="112">
        <f t="shared" si="2"/>
        <v>1.5463917525773141E-2</v>
      </c>
      <c r="H9" s="112">
        <f t="shared" si="2"/>
        <v>-7.1065989847715727E-2</v>
      </c>
      <c r="I9" s="112">
        <f t="shared" si="2"/>
        <v>-4.3715846994535568E-2</v>
      </c>
      <c r="J9" s="112">
        <f t="shared" si="2"/>
        <v>-8.5714285714285743E-2</v>
      </c>
      <c r="K9" s="112">
        <f t="shared" si="2"/>
        <v>-3.7499999999999978E-2</v>
      </c>
      <c r="L9" s="112">
        <f t="shared" si="2"/>
        <v>6.4935064935065512E-3</v>
      </c>
      <c r="M9" s="112">
        <f t="shared" si="2"/>
        <v>1.2903225806451646E-2</v>
      </c>
    </row>
    <row r="10" spans="1:147">
      <c r="A10" s="87" t="str">
        <f>A4</f>
        <v>Морковь</v>
      </c>
      <c r="B10" s="112">
        <f>M10</f>
        <v>2.7586206896551779E-2</v>
      </c>
      <c r="C10" s="112">
        <f t="shared" ref="C10:M10" si="3">C4/B4-100%</f>
        <v>2.7586206896551779E-2</v>
      </c>
      <c r="D10" s="112">
        <f t="shared" si="3"/>
        <v>0.10738255033557054</v>
      </c>
      <c r="E10" s="112">
        <f t="shared" si="3"/>
        <v>0.1272727272727272</v>
      </c>
      <c r="F10" s="112">
        <f t="shared" si="3"/>
        <v>8.0645161290322509E-2</v>
      </c>
      <c r="G10" s="112">
        <f t="shared" si="3"/>
        <v>5.9701492537313383E-2</v>
      </c>
      <c r="H10" s="112">
        <f t="shared" si="3"/>
        <v>-4.6948356807511749E-2</v>
      </c>
      <c r="I10" s="112">
        <f t="shared" si="3"/>
        <v>-4.9261083743842415E-2</v>
      </c>
      <c r="J10" s="112">
        <f t="shared" si="3"/>
        <v>-0.1606217616580311</v>
      </c>
      <c r="K10" s="112">
        <f t="shared" si="3"/>
        <v>-6.7901234567901203E-2</v>
      </c>
      <c r="L10" s="112">
        <f t="shared" si="3"/>
        <v>-3.9735099337748325E-2</v>
      </c>
      <c r="M10" s="112">
        <f t="shared" si="3"/>
        <v>2.7586206896551779E-2</v>
      </c>
    </row>
    <row r="11" spans="1:147">
      <c r="A11" s="87" t="str">
        <f>A5</f>
        <v>Лук</v>
      </c>
      <c r="B11" s="112">
        <f>M11</f>
        <v>0.23275862068965525</v>
      </c>
      <c r="C11" s="112">
        <f t="shared" ref="C11:M11" si="4">C5/B5-100%</f>
        <v>1.1235955056179803E-2</v>
      </c>
      <c r="D11" s="112">
        <f t="shared" si="4"/>
        <v>0.17777777777777781</v>
      </c>
      <c r="E11" s="112">
        <f t="shared" si="4"/>
        <v>0.29245283018867929</v>
      </c>
      <c r="F11" s="112">
        <f t="shared" si="4"/>
        <v>0.13138686131386867</v>
      </c>
      <c r="G11" s="112">
        <f t="shared" si="4"/>
        <v>0.11612903225806459</v>
      </c>
      <c r="H11" s="112">
        <f t="shared" si="4"/>
        <v>0.10982658959537561</v>
      </c>
      <c r="I11" s="112">
        <f t="shared" si="4"/>
        <v>-2.083333333333337E-2</v>
      </c>
      <c r="J11" s="112">
        <f t="shared" si="4"/>
        <v>-0.33510638297872342</v>
      </c>
      <c r="K11" s="112">
        <f t="shared" si="4"/>
        <v>-7.1999999999999953E-2</v>
      </c>
      <c r="L11" s="112">
        <f t="shared" si="4"/>
        <v>0</v>
      </c>
      <c r="M11" s="112">
        <f t="shared" si="4"/>
        <v>0.23275862068965525</v>
      </c>
    </row>
    <row r="12" spans="1:147">
      <c r="A12" s="87" t="str">
        <f>A6</f>
        <v>Капуста</v>
      </c>
      <c r="B12" s="112">
        <f>M12</f>
        <v>3.0000000000000027E-2</v>
      </c>
      <c r="C12" s="112">
        <f t="shared" ref="C12:M12" si="5">C6/B6-100%</f>
        <v>0.16551724137931045</v>
      </c>
      <c r="D12" s="112">
        <f t="shared" si="5"/>
        <v>0.39053254437869822</v>
      </c>
      <c r="E12" s="112">
        <f t="shared" si="5"/>
        <v>0.17872340425531918</v>
      </c>
      <c r="F12" s="112">
        <f t="shared" si="5"/>
        <v>-0.28519855595667865</v>
      </c>
      <c r="G12" s="112">
        <f t="shared" si="5"/>
        <v>-0.19696969696969702</v>
      </c>
      <c r="H12" s="112">
        <f t="shared" si="5"/>
        <v>-0.23899371069182385</v>
      </c>
      <c r="I12" s="112">
        <f t="shared" si="5"/>
        <v>-0.13223140495867769</v>
      </c>
      <c r="J12" s="112">
        <f t="shared" si="5"/>
        <v>-4.7619047619047672E-2</v>
      </c>
      <c r="K12" s="112">
        <f t="shared" si="5"/>
        <v>-3.0000000000000027E-2</v>
      </c>
      <c r="L12" s="112">
        <f t="shared" si="5"/>
        <v>3.0927835051546282E-2</v>
      </c>
      <c r="M12" s="112">
        <f t="shared" si="5"/>
        <v>3.0000000000000027E-2</v>
      </c>
    </row>
    <row r="14" spans="1:147">
      <c r="B14" s="4">
        <f t="shared" ref="B14:M14" si="6">YEAR(B15)</f>
        <v>2023</v>
      </c>
      <c r="C14" s="4">
        <f t="shared" si="6"/>
        <v>2023</v>
      </c>
      <c r="D14" s="4">
        <f t="shared" si="6"/>
        <v>2023</v>
      </c>
      <c r="E14" s="4">
        <f t="shared" si="6"/>
        <v>2023</v>
      </c>
      <c r="F14" s="4">
        <f t="shared" si="6"/>
        <v>2023</v>
      </c>
      <c r="G14" s="4">
        <f t="shared" si="6"/>
        <v>2023</v>
      </c>
      <c r="H14" s="4">
        <f t="shared" si="6"/>
        <v>2023</v>
      </c>
      <c r="I14" s="4">
        <f t="shared" si="6"/>
        <v>2023</v>
      </c>
      <c r="J14" s="4">
        <f t="shared" si="6"/>
        <v>2023</v>
      </c>
      <c r="K14" s="4">
        <f t="shared" si="6"/>
        <v>2023</v>
      </c>
      <c r="L14" s="4">
        <f t="shared" si="6"/>
        <v>2023</v>
      </c>
      <c r="M14" s="4">
        <f t="shared" si="6"/>
        <v>2023</v>
      </c>
    </row>
    <row r="15" spans="1:147" ht="28.8">
      <c r="A15" s="109" t="s">
        <v>349</v>
      </c>
      <c r="B15" s="85">
        <v>44927</v>
      </c>
      <c r="C15" s="85">
        <v>44958</v>
      </c>
      <c r="D15" s="85">
        <v>44986</v>
      </c>
      <c r="E15" s="85">
        <v>45017</v>
      </c>
      <c r="F15" s="85">
        <v>45047</v>
      </c>
      <c r="G15" s="85">
        <v>45078</v>
      </c>
      <c r="H15" s="85">
        <v>45108</v>
      </c>
      <c r="I15" s="85">
        <v>45139</v>
      </c>
      <c r="J15" s="85">
        <v>45170</v>
      </c>
      <c r="K15" s="85">
        <v>45200</v>
      </c>
      <c r="L15" s="85">
        <v>45231</v>
      </c>
      <c r="M15" s="85">
        <v>45261</v>
      </c>
      <c r="O15" s="109" t="s">
        <v>352</v>
      </c>
      <c r="P15" s="109" t="s">
        <v>350</v>
      </c>
      <c r="Q15" s="91" t="s">
        <v>351</v>
      </c>
      <c r="R15" s="109" t="s">
        <v>353</v>
      </c>
      <c r="S15" s="91" t="s">
        <v>351</v>
      </c>
      <c r="T15" s="109" t="s">
        <v>354</v>
      </c>
    </row>
    <row r="16" spans="1:147">
      <c r="A16" s="87" t="s">
        <v>159</v>
      </c>
      <c r="B16" s="143">
        <f>B3*1.25/Предпосылки!$B$3</f>
        <v>0.37773128777312875</v>
      </c>
      <c r="C16" s="143">
        <f>C3*1.25/Предпосылки!$B$3</f>
        <v>0.39093867545750388</v>
      </c>
      <c r="D16" s="143">
        <f>D3*1.25/Предпосылки!$B$3</f>
        <v>0.43848527112125435</v>
      </c>
      <c r="E16" s="143">
        <f>E3*1.25/Предпосылки!$B$3</f>
        <v>0.47546595663750474</v>
      </c>
      <c r="F16" s="143">
        <f>F3*1.25/Предпосылки!$B$3</f>
        <v>0.51244664215375513</v>
      </c>
      <c r="G16" s="143">
        <f>G3*1.25/Предпосылки!$B$3</f>
        <v>0.52037107476438016</v>
      </c>
      <c r="H16" s="143">
        <f>H3*1.25/Предпосылки!$B$3</f>
        <v>0.48339038924812983</v>
      </c>
      <c r="I16" s="143">
        <f>I3*1.25/Предпосылки!$B$3</f>
        <v>0.46225856895312961</v>
      </c>
      <c r="J16" s="143">
        <f>J3*1.25/Предпосылки!$B$3</f>
        <v>0.42263640590000418</v>
      </c>
      <c r="K16" s="143">
        <f>K3*1.25/Предпосылки!$B$3</f>
        <v>0.40678754067875406</v>
      </c>
      <c r="L16" s="143">
        <f>L3*1.25/Предпосылки!$B$3</f>
        <v>0.40942901821562905</v>
      </c>
      <c r="M16" s="143">
        <f>M3*1.25/Предпосылки!$B$3</f>
        <v>0.41471197328937914</v>
      </c>
      <c r="O16" s="87" t="str">
        <f>A16</f>
        <v>Цены на картофель</v>
      </c>
      <c r="P16" s="52">
        <v>32.54</v>
      </c>
      <c r="Q16" s="143">
        <f>P16/96.2236</f>
        <v>0.33817067746374069</v>
      </c>
      <c r="R16" s="52">
        <v>160</v>
      </c>
      <c r="S16" s="143">
        <f>R16/Предпосылки!$B$3</f>
        <v>0.33810912472000337</v>
      </c>
      <c r="T16" s="40">
        <f>Q16/S16-100%</f>
        <v>1.8204993369597133E-4</v>
      </c>
    </row>
    <row r="17" spans="1:20">
      <c r="A17" s="87" t="s">
        <v>160</v>
      </c>
      <c r="B17" s="143">
        <f>B4*1.25/Предпосылки!$B$3</f>
        <v>0.38301424284687879</v>
      </c>
      <c r="C17" s="143">
        <f>C4*1.25/Предпосылки!$B$3</f>
        <v>0.39358015299437893</v>
      </c>
      <c r="D17" s="143">
        <f>D4*1.25/Предпосылки!$B$3</f>
        <v>0.43584379358437936</v>
      </c>
      <c r="E17" s="143">
        <f>E4*1.25/Предпосылки!$B$3</f>
        <v>0.49131482185875486</v>
      </c>
      <c r="F17" s="143">
        <f>F4*1.25/Предпосылки!$B$3</f>
        <v>0.53093698491188024</v>
      </c>
      <c r="G17" s="143">
        <f>G4*1.25/Предпосылки!$B$3</f>
        <v>0.56263471535438059</v>
      </c>
      <c r="H17" s="143">
        <f>H4*1.25/Предпосылки!$B$3</f>
        <v>0.53621993998563033</v>
      </c>
      <c r="I17" s="143">
        <f>I4*1.25/Предпосылки!$B$3</f>
        <v>0.50980516461688008</v>
      </c>
      <c r="J17" s="143">
        <f>J4*1.25/Предпосылки!$B$3</f>
        <v>0.42791936097375427</v>
      </c>
      <c r="K17" s="143">
        <f>K4*1.25/Предпосылки!$B$3</f>
        <v>0.39886310806812897</v>
      </c>
      <c r="L17" s="143">
        <f>L4*1.25/Предпосылки!$B$3</f>
        <v>0.38301424284687879</v>
      </c>
      <c r="M17" s="143">
        <f>M4*1.25/Предпосылки!$B$3</f>
        <v>0.39358015299437893</v>
      </c>
      <c r="O17" s="87" t="str">
        <f t="shared" ref="O17:O19" si="7">A17</f>
        <v>Цены на морковь</v>
      </c>
      <c r="P17" s="52">
        <v>48.64</v>
      </c>
      <c r="Q17" s="143">
        <f t="shared" ref="Q17:Q19" si="8">P17/96.2236</f>
        <v>0.50548929784377217</v>
      </c>
      <c r="R17" s="52">
        <v>194</v>
      </c>
      <c r="S17" s="143">
        <f>R17/Предпосылки!$B$3</f>
        <v>0.40995731372300409</v>
      </c>
      <c r="T17" s="40">
        <f t="shared" ref="T17:T19" si="9">Q17/S17-100%</f>
        <v>0.23302910064757665</v>
      </c>
    </row>
    <row r="18" spans="1:20">
      <c r="A18" s="87" t="s">
        <v>161</v>
      </c>
      <c r="B18" s="143">
        <f>B5*1.25/Предпосылки!$B$3</f>
        <v>0.23509150078187735</v>
      </c>
      <c r="C18" s="143">
        <f>C5*1.25/Предпосылки!$B$3</f>
        <v>0.23773297831875237</v>
      </c>
      <c r="D18" s="143">
        <f>D5*1.25/Предпосылки!$B$3</f>
        <v>0.27999661890875277</v>
      </c>
      <c r="E18" s="143">
        <f>E5*1.25/Предпосылки!$B$3</f>
        <v>0.36188242255187858</v>
      </c>
      <c r="F18" s="143">
        <f>F5*1.25/Предпосылки!$B$3</f>
        <v>0.40942901821562905</v>
      </c>
      <c r="G18" s="143">
        <f>G5*1.25/Предпосылки!$B$3</f>
        <v>0.45697561387937952</v>
      </c>
      <c r="H18" s="143">
        <f>H5*1.25/Предпосылки!$B$3</f>
        <v>0.50716368708000503</v>
      </c>
      <c r="I18" s="143">
        <f>I5*1.25/Предпосылки!$B$3</f>
        <v>0.49659777693250495</v>
      </c>
      <c r="J18" s="143">
        <f>J5*1.25/Предпосылки!$B$3</f>
        <v>0.33018469210937829</v>
      </c>
      <c r="K18" s="143">
        <f>K5*1.25/Предпосылки!$B$3</f>
        <v>0.30641139427750302</v>
      </c>
      <c r="L18" s="143">
        <f>L5*1.25/Предпосылки!$B$3</f>
        <v>0.30641139427750302</v>
      </c>
      <c r="M18" s="143">
        <f>M5*1.25/Предпосылки!$B$3</f>
        <v>0.37773128777312875</v>
      </c>
      <c r="O18" s="87" t="str">
        <f t="shared" si="7"/>
        <v>Цены на лук</v>
      </c>
      <c r="P18" s="52">
        <v>34.44</v>
      </c>
      <c r="Q18" s="143">
        <f t="shared" si="8"/>
        <v>0.35791635316076303</v>
      </c>
      <c r="R18" s="52">
        <v>128</v>
      </c>
      <c r="S18" s="143">
        <f>R18/Предпосылки!$B$3</f>
        <v>0.27048729977600267</v>
      </c>
      <c r="T18" s="40">
        <f t="shared" si="9"/>
        <v>0.32322794252137732</v>
      </c>
    </row>
    <row r="19" spans="1:20">
      <c r="A19" s="87" t="s">
        <v>162</v>
      </c>
      <c r="B19" s="143">
        <f>B6*1.25/Предпосылки!$B$3</f>
        <v>0.38301424284687879</v>
      </c>
      <c r="C19" s="143">
        <f>C6*1.25/Предпосылки!$B$3</f>
        <v>0.44640970373187944</v>
      </c>
      <c r="D19" s="143">
        <f>D6*1.25/Предпосылки!$B$3</f>
        <v>0.62074722116563119</v>
      </c>
      <c r="E19" s="143">
        <f>E6*1.25/Предпосылки!$B$3</f>
        <v>0.7316892777143823</v>
      </c>
      <c r="F19" s="143">
        <f>F6*1.25/Предпосылки!$B$3</f>
        <v>0.52301255230125521</v>
      </c>
      <c r="G19" s="143">
        <f>G6*1.25/Предпосылки!$B$3</f>
        <v>0.41999492836312918</v>
      </c>
      <c r="H19" s="143">
        <f>H6*1.25/Предпосылки!$B$3</f>
        <v>0.31961878196187815</v>
      </c>
      <c r="I19" s="143">
        <f>I6*1.25/Предпосылки!$B$3</f>
        <v>0.27735514137187778</v>
      </c>
      <c r="J19" s="143">
        <f>J6*1.25/Предпосылки!$B$3</f>
        <v>0.26414775368750265</v>
      </c>
      <c r="K19" s="143">
        <f>K6*1.25/Предпосылки!$B$3</f>
        <v>0.25622332107687756</v>
      </c>
      <c r="L19" s="143">
        <f>L6*1.25/Предпосылки!$B$3</f>
        <v>0.26414775368750265</v>
      </c>
      <c r="M19" s="143">
        <f>M6*1.25/Предпосылки!$B$3</f>
        <v>0.27207218629812768</v>
      </c>
      <c r="O19" s="87" t="str">
        <f t="shared" si="7"/>
        <v>Цены на капусту</v>
      </c>
      <c r="P19" s="52">
        <v>25.16</v>
      </c>
      <c r="Q19" s="143">
        <f t="shared" si="8"/>
        <v>0.2614743160721486</v>
      </c>
      <c r="R19" s="52">
        <v>170</v>
      </c>
      <c r="S19" s="143">
        <f>R19/Предпосылки!$B$3</f>
        <v>0.35924094501500359</v>
      </c>
      <c r="T19" s="40">
        <f t="shared" si="9"/>
        <v>-0.27214778910786963</v>
      </c>
    </row>
    <row r="20" spans="1:20">
      <c r="R20" s="165" t="s">
        <v>355</v>
      </c>
      <c r="S20" s="165"/>
      <c r="T20" s="40">
        <f>SUM(AVERAGE(T16:T18))</f>
        <v>0.18547969770088332</v>
      </c>
    </row>
    <row r="21" spans="1:20">
      <c r="B21" s="4">
        <f t="shared" ref="B21:M21" si="10">YEAR(B22)</f>
        <v>2024</v>
      </c>
      <c r="C21" s="4">
        <f t="shared" si="10"/>
        <v>2024</v>
      </c>
      <c r="D21" s="4">
        <f t="shared" si="10"/>
        <v>2024</v>
      </c>
      <c r="E21" s="4">
        <f t="shared" si="10"/>
        <v>2024</v>
      </c>
      <c r="F21" s="4">
        <f t="shared" si="10"/>
        <v>2024</v>
      </c>
      <c r="G21" s="4">
        <f t="shared" si="10"/>
        <v>2024</v>
      </c>
      <c r="H21" s="4">
        <f t="shared" si="10"/>
        <v>2024</v>
      </c>
      <c r="I21" s="4">
        <f t="shared" si="10"/>
        <v>2024</v>
      </c>
      <c r="J21" s="4">
        <f t="shared" si="10"/>
        <v>2024</v>
      </c>
      <c r="K21" s="4">
        <f t="shared" si="10"/>
        <v>2024</v>
      </c>
      <c r="L21" s="4">
        <f t="shared" si="10"/>
        <v>2024</v>
      </c>
      <c r="M21" s="4">
        <f t="shared" si="10"/>
        <v>2024</v>
      </c>
      <c r="R21" s="165" t="s">
        <v>360</v>
      </c>
      <c r="S21" s="165"/>
      <c r="T21" s="40">
        <f>T20/2</f>
        <v>9.2739848850441661E-2</v>
      </c>
    </row>
    <row r="22" spans="1:20">
      <c r="B22" s="85">
        <v>45292</v>
      </c>
      <c r="C22" s="85">
        <v>45323</v>
      </c>
      <c r="D22" s="85">
        <v>45352</v>
      </c>
      <c r="E22" s="85">
        <v>45383</v>
      </c>
      <c r="F22" s="85">
        <v>45413</v>
      </c>
      <c r="G22" s="85">
        <v>45444</v>
      </c>
      <c r="H22" s="85">
        <v>45474</v>
      </c>
      <c r="I22" s="85">
        <v>45505</v>
      </c>
      <c r="J22" s="85">
        <v>45536</v>
      </c>
      <c r="K22" s="85">
        <v>45566</v>
      </c>
      <c r="L22" s="85">
        <v>45597</v>
      </c>
      <c r="M22" s="85">
        <v>45627</v>
      </c>
    </row>
    <row r="23" spans="1:20">
      <c r="A23" s="87" t="s">
        <v>159</v>
      </c>
      <c r="B23" s="143">
        <f>B16*(1+Предпосылки!$B$6)</f>
        <v>0.4203393770339377</v>
      </c>
      <c r="C23" s="143">
        <f>C16*(1+Предпосылки!$B$6)</f>
        <v>0.43503655804911034</v>
      </c>
      <c r="D23" s="143">
        <f>D16*(1+Предпосылки!$B$6)</f>
        <v>0.48794640970373182</v>
      </c>
      <c r="E23" s="143">
        <f>E16*(1+Предпосылки!$B$6)</f>
        <v>0.52909851654621531</v>
      </c>
      <c r="F23" s="143">
        <f>F16*(1+Предпосылки!$B$6)</f>
        <v>0.5702506233886987</v>
      </c>
      <c r="G23" s="143">
        <f>G16*(1+Предпосылки!$B$6)</f>
        <v>0.57906893199780229</v>
      </c>
      <c r="H23" s="143">
        <f>H16*(1+Предпосылки!$B$6)</f>
        <v>0.53791682515531891</v>
      </c>
      <c r="I23" s="143">
        <f>I16*(1+Предпосылки!$B$6)</f>
        <v>0.51440133553104261</v>
      </c>
      <c r="J23" s="143">
        <f>J16*(1+Предпосылки!$B$6)</f>
        <v>0.47030979248552462</v>
      </c>
      <c r="K23" s="143">
        <f>K16*(1+Предпосылки!$B$6)</f>
        <v>0.45267317526731754</v>
      </c>
      <c r="L23" s="143">
        <f>L16*(1+Предпосылки!$B$6)</f>
        <v>0.45561261147035204</v>
      </c>
      <c r="M23" s="143">
        <f>M16*(1+Предпосылки!$B$6)</f>
        <v>0.46149148387642114</v>
      </c>
    </row>
    <row r="24" spans="1:20">
      <c r="A24" s="87" t="s">
        <v>160</v>
      </c>
      <c r="B24" s="143">
        <f>B17*(1+Предпосылки!$B$6)</f>
        <v>0.42621824944000675</v>
      </c>
      <c r="C24" s="143">
        <f>C17*(1+Предпосылки!$B$6)</f>
        <v>0.4379759942521449</v>
      </c>
      <c r="D24" s="143">
        <f>D17*(1+Предпосылки!$B$6)</f>
        <v>0.48500697350069738</v>
      </c>
      <c r="E24" s="143">
        <f>E17*(1+Предпосылки!$B$6)</f>
        <v>0.5467351337644224</v>
      </c>
      <c r="F24" s="143">
        <f>F17*(1+Предпосылки!$B$6)</f>
        <v>0.59082667680994039</v>
      </c>
      <c r="G24" s="143">
        <f>G17*(1+Предпосылки!$B$6)</f>
        <v>0.62609991124635478</v>
      </c>
      <c r="H24" s="143">
        <f>H17*(1+Предпосылки!$B$6)</f>
        <v>0.59670554921600949</v>
      </c>
      <c r="I24" s="143">
        <f>I17*(1+Предпосылки!$B$6)</f>
        <v>0.5673111871856642</v>
      </c>
      <c r="J24" s="143">
        <f>J17*(1+Предпосылки!$B$6)</f>
        <v>0.47618866489159378</v>
      </c>
      <c r="K24" s="143">
        <f>K17*(1+Предпосылки!$B$6)</f>
        <v>0.44385486665821394</v>
      </c>
      <c r="L24" s="143">
        <f>L17*(1+Предпосылки!$B$6)</f>
        <v>0.42621824944000675</v>
      </c>
      <c r="M24" s="143">
        <f>M17*(1+Предпосылки!$B$6)</f>
        <v>0.4379759942521449</v>
      </c>
    </row>
    <row r="25" spans="1:20">
      <c r="A25" s="87" t="s">
        <v>161</v>
      </c>
      <c r="B25" s="143">
        <f>B18*(1+Предпосылки!$B$6)</f>
        <v>0.26160982207007311</v>
      </c>
      <c r="C25" s="143">
        <f>C18*(1+Предпосылки!$B$6)</f>
        <v>0.26454925827310766</v>
      </c>
      <c r="D25" s="143">
        <f>D18*(1+Предпосылки!$B$6)</f>
        <v>0.31158023752166009</v>
      </c>
      <c r="E25" s="143">
        <f>E18*(1+Предпосылки!$B$6)</f>
        <v>0.4027027598157305</v>
      </c>
      <c r="F25" s="143">
        <f>F18*(1+Предпосылки!$B$6)</f>
        <v>0.45561261147035204</v>
      </c>
      <c r="G25" s="143">
        <f>G18*(1+Предпосылки!$B$6)</f>
        <v>0.50852246312497351</v>
      </c>
      <c r="H25" s="143">
        <f>H18*(1+Предпосылки!$B$6)</f>
        <v>0.56437175098262959</v>
      </c>
      <c r="I25" s="143">
        <f>I18*(1+Предпосылки!$B$6)</f>
        <v>0.5526140061704915</v>
      </c>
      <c r="J25" s="143">
        <f>J18*(1+Предпосылки!$B$6)</f>
        <v>0.36742952537931617</v>
      </c>
      <c r="K25" s="143">
        <f>K18*(1+Предпосылки!$B$6)</f>
        <v>0.34097459955200538</v>
      </c>
      <c r="L25" s="143">
        <f>L18*(1+Предпосылки!$B$6)</f>
        <v>0.34097459955200538</v>
      </c>
      <c r="M25" s="143">
        <f>M18*(1+Предпосылки!$B$6)</f>
        <v>0.4203393770339377</v>
      </c>
    </row>
    <row r="26" spans="1:20">
      <c r="A26" s="87" t="s">
        <v>162</v>
      </c>
      <c r="B26" s="143">
        <f>B19*(1+Предпосылки!$B$6)</f>
        <v>0.42621824944000675</v>
      </c>
      <c r="C26" s="143">
        <f>C19*(1+Предпосылки!$B$6)</f>
        <v>0.49676471831283542</v>
      </c>
      <c r="D26" s="143">
        <f>D19*(1+Предпосылки!$B$6)</f>
        <v>0.69076750771311435</v>
      </c>
      <c r="E26" s="143">
        <f>E19*(1+Предпосылки!$B$6)</f>
        <v>0.81422382824056461</v>
      </c>
      <c r="F26" s="143">
        <f>F19*(1+Предпосылки!$B$6)</f>
        <v>0.58200836820083679</v>
      </c>
      <c r="G26" s="143">
        <f>G19*(1+Предпосылки!$B$6)</f>
        <v>0.46737035628249018</v>
      </c>
      <c r="H26" s="143">
        <f>H19*(1+Предпосылки!$B$6)</f>
        <v>0.35567178056717802</v>
      </c>
      <c r="I26" s="143">
        <f>I19*(1+Предпосылки!$B$6)</f>
        <v>0.30864080131862559</v>
      </c>
      <c r="J26" s="143">
        <f>J19*(1+Предпосылки!$B$6)</f>
        <v>0.29394362030345295</v>
      </c>
      <c r="K26" s="143">
        <f>K19*(1+Предпосылки!$B$6)</f>
        <v>0.28512531169434935</v>
      </c>
      <c r="L26" s="143">
        <f>L19*(1+Предпосылки!$B$6)</f>
        <v>0.29394362030345295</v>
      </c>
      <c r="M26" s="143">
        <f>M19*(1+Предпосылки!$B$6)</f>
        <v>0.30276192891255649</v>
      </c>
    </row>
    <row r="28" spans="1:20">
      <c r="B28" s="4">
        <f t="shared" ref="B28:M28" si="11">YEAR(B29)</f>
        <v>2025</v>
      </c>
      <c r="C28" s="4">
        <f t="shared" si="11"/>
        <v>2025</v>
      </c>
      <c r="D28" s="4">
        <f t="shared" si="11"/>
        <v>2025</v>
      </c>
      <c r="E28" s="4">
        <f t="shared" si="11"/>
        <v>2025</v>
      </c>
      <c r="F28" s="4">
        <f t="shared" si="11"/>
        <v>2025</v>
      </c>
      <c r="G28" s="4">
        <f t="shared" si="11"/>
        <v>2025</v>
      </c>
      <c r="H28" s="4">
        <f t="shared" si="11"/>
        <v>2025</v>
      </c>
      <c r="I28" s="4">
        <f t="shared" si="11"/>
        <v>2025</v>
      </c>
      <c r="J28" s="4">
        <f t="shared" si="11"/>
        <v>2025</v>
      </c>
      <c r="K28" s="4">
        <f t="shared" si="11"/>
        <v>2025</v>
      </c>
      <c r="L28" s="4">
        <f t="shared" si="11"/>
        <v>2025</v>
      </c>
      <c r="M28" s="4">
        <f t="shared" si="11"/>
        <v>2025</v>
      </c>
    </row>
    <row r="29" spans="1:20">
      <c r="B29" s="85">
        <v>45658</v>
      </c>
      <c r="C29" s="85">
        <v>45689</v>
      </c>
      <c r="D29" s="85">
        <v>45717</v>
      </c>
      <c r="E29" s="85">
        <v>45748</v>
      </c>
      <c r="F29" s="85">
        <v>45778</v>
      </c>
      <c r="G29" s="85">
        <v>45809</v>
      </c>
      <c r="H29" s="85">
        <v>45839</v>
      </c>
      <c r="I29" s="85">
        <v>45870</v>
      </c>
      <c r="J29" s="85">
        <v>45901</v>
      </c>
      <c r="K29" s="85">
        <v>45931</v>
      </c>
      <c r="L29" s="85">
        <v>45962</v>
      </c>
      <c r="M29" s="85">
        <v>45992</v>
      </c>
    </row>
    <row r="30" spans="1:20">
      <c r="A30" s="87" t="s">
        <v>159</v>
      </c>
      <c r="B30" s="143">
        <f>B23*(1+Предпосылки!$C$6)</f>
        <v>0.45195730497443054</v>
      </c>
      <c r="C30" s="143">
        <f>C23*(1+Предпосылки!$C$6)</f>
        <v>0.46776000794556444</v>
      </c>
      <c r="D30" s="143">
        <f>D23*(1+Предпосылки!$C$6)</f>
        <v>0.52464973864164655</v>
      </c>
      <c r="E30" s="143">
        <f>E23*(1+Предпосылки!$C$6)</f>
        <v>0.56889730696082164</v>
      </c>
      <c r="F30" s="143">
        <f>F23*(1+Предпосылки!$C$6)</f>
        <v>0.61314487527999662</v>
      </c>
      <c r="G30" s="143">
        <f>G23*(1+Предпосылки!$C$6)</f>
        <v>0.62262649706267703</v>
      </c>
      <c r="H30" s="143">
        <f>H23*(1+Предпосылки!$C$6)</f>
        <v>0.57837892874350205</v>
      </c>
      <c r="I30" s="143">
        <f>I23*(1+Предпосылки!$C$6)</f>
        <v>0.55309460398968768</v>
      </c>
      <c r="J30" s="143">
        <f>J23*(1+Предпосылки!$C$6)</f>
        <v>0.50568649507628582</v>
      </c>
      <c r="K30" s="143">
        <f>K23*(1+Предпосылки!$C$6)</f>
        <v>0.48672325151092521</v>
      </c>
      <c r="L30" s="143">
        <f>L23*(1+Предпосылки!$C$6)</f>
        <v>0.48988379210515193</v>
      </c>
      <c r="M30" s="143">
        <f>M23*(1+Предпосылки!$C$6)</f>
        <v>0.49620487329360558</v>
      </c>
    </row>
    <row r="31" spans="1:20">
      <c r="A31" s="87" t="s">
        <v>160</v>
      </c>
      <c r="B31" s="143">
        <f>B24*(1+Предпосылки!$C$6)</f>
        <v>0.45827838616288408</v>
      </c>
      <c r="C31" s="143">
        <f>C24*(1+Предпосылки!$C$6)</f>
        <v>0.47092054853979126</v>
      </c>
      <c r="D31" s="143">
        <f>D24*(1+Предпосылки!$C$6)</f>
        <v>0.52148919804741989</v>
      </c>
      <c r="E31" s="143">
        <f>E24*(1+Предпосылки!$C$6)</f>
        <v>0.58786055052618225</v>
      </c>
      <c r="F31" s="143">
        <f>F24*(1+Предпосылки!$C$6)</f>
        <v>0.6352686594395841</v>
      </c>
      <c r="G31" s="143">
        <f>G24*(1+Предпосылки!$C$6)</f>
        <v>0.67319514657030566</v>
      </c>
      <c r="H31" s="143">
        <f>H24*(1+Предпосылки!$C$6)</f>
        <v>0.64158974062803775</v>
      </c>
      <c r="I31" s="143">
        <f>I24*(1+Предпосылки!$C$6)</f>
        <v>0.60998433468576985</v>
      </c>
      <c r="J31" s="143">
        <f>J24*(1+Предпосылки!$C$6)</f>
        <v>0.51200757626473947</v>
      </c>
      <c r="K31" s="143">
        <f>K24*(1+Предпосылки!$C$6)</f>
        <v>0.4772416297282448</v>
      </c>
      <c r="L31" s="143">
        <f>L24*(1+Предпосылки!$C$6)</f>
        <v>0.45827838616288408</v>
      </c>
      <c r="M31" s="143">
        <f>M24*(1+Предпосылки!$C$6)</f>
        <v>0.47092054853979126</v>
      </c>
    </row>
    <row r="32" spans="1:20">
      <c r="A32" s="87" t="s">
        <v>161</v>
      </c>
      <c r="B32" s="143">
        <f>B25*(1+Предпосылки!$C$6)</f>
        <v>0.28128811288618399</v>
      </c>
      <c r="C32" s="143">
        <f>C25*(1+Предпосылки!$C$6)</f>
        <v>0.28444865348041082</v>
      </c>
      <c r="D32" s="143">
        <f>D25*(1+Предпосылки!$C$6)</f>
        <v>0.33501730298803939</v>
      </c>
      <c r="E32" s="143">
        <f>E25*(1+Предпосылки!$C$6)</f>
        <v>0.43299406140906976</v>
      </c>
      <c r="F32" s="143">
        <f>F25*(1+Предпосылки!$C$6)</f>
        <v>0.48988379210515193</v>
      </c>
      <c r="G32" s="143">
        <f>G25*(1+Предпосылки!$C$6)</f>
        <v>0.54677352280123404</v>
      </c>
      <c r="H32" s="143">
        <f>H25*(1+Предпосылки!$C$6)</f>
        <v>0.60682379409154308</v>
      </c>
      <c r="I32" s="143">
        <f>I25*(1+Предпосылки!$C$6)</f>
        <v>0.59418163171463589</v>
      </c>
      <c r="J32" s="143">
        <f>J25*(1+Предпосылки!$C$6)</f>
        <v>0.39506757427834838</v>
      </c>
      <c r="K32" s="143">
        <f>K25*(1+Предпосылки!$C$6)</f>
        <v>0.36662270893030724</v>
      </c>
      <c r="L32" s="143">
        <f>L25*(1+Предпосылки!$C$6)</f>
        <v>0.36662270893030724</v>
      </c>
      <c r="M32" s="143">
        <f>M25*(1+Предпосылки!$C$6)</f>
        <v>0.45195730497443054</v>
      </c>
    </row>
    <row r="33" spans="1:13">
      <c r="A33" s="87" t="s">
        <v>162</v>
      </c>
      <c r="B33" s="143">
        <f>B26*(1+Предпосылки!$C$6)</f>
        <v>0.45827838616288408</v>
      </c>
      <c r="C33" s="143">
        <f>C26*(1+Предпосылки!$C$6)</f>
        <v>0.53413136042432696</v>
      </c>
      <c r="D33" s="143">
        <f>D26*(1+Предпосылки!$C$6)</f>
        <v>0.7427270396432949</v>
      </c>
      <c r="E33" s="143">
        <f>E26*(1+Предпосылки!$C$6)</f>
        <v>0.87546974460081994</v>
      </c>
      <c r="F33" s="143">
        <f>F26*(1+Предпосылки!$C$6)</f>
        <v>0.6257870376569038</v>
      </c>
      <c r="G33" s="143">
        <f>G26*(1+Предпосылки!$C$6)</f>
        <v>0.50252595448205917</v>
      </c>
      <c r="H33" s="143">
        <f>H26*(1+Предпосылки!$C$6)</f>
        <v>0.38242541190144119</v>
      </c>
      <c r="I33" s="143">
        <f>I26*(1+Предпосылки!$C$6)</f>
        <v>0.33185676239381262</v>
      </c>
      <c r="J33" s="143">
        <f>J26*(1+Предпосылки!$C$6)</f>
        <v>0.31605405942267867</v>
      </c>
      <c r="K33" s="143">
        <f>K26*(1+Предпосылки!$C$6)</f>
        <v>0.30657243763999831</v>
      </c>
      <c r="L33" s="143">
        <f>L26*(1+Предпосылки!$C$6)</f>
        <v>0.31605405942267867</v>
      </c>
      <c r="M33" s="143">
        <f>M26*(1+Предпосылки!$C$6)</f>
        <v>0.32553568120535903</v>
      </c>
    </row>
    <row r="35" spans="1:13">
      <c r="B35" s="4">
        <f t="shared" ref="B35:M35" si="12">YEAR(B36)</f>
        <v>2026</v>
      </c>
      <c r="C35" s="4">
        <f t="shared" si="12"/>
        <v>2026</v>
      </c>
      <c r="D35" s="4">
        <f t="shared" si="12"/>
        <v>2026</v>
      </c>
      <c r="E35" s="4">
        <f t="shared" si="12"/>
        <v>2026</v>
      </c>
      <c r="F35" s="4">
        <f t="shared" si="12"/>
        <v>2026</v>
      </c>
      <c r="G35" s="4">
        <f t="shared" si="12"/>
        <v>2026</v>
      </c>
      <c r="H35" s="4">
        <f t="shared" si="12"/>
        <v>2026</v>
      </c>
      <c r="I35" s="4">
        <f t="shared" si="12"/>
        <v>2026</v>
      </c>
      <c r="J35" s="4">
        <f t="shared" si="12"/>
        <v>2026</v>
      </c>
      <c r="K35" s="4">
        <f t="shared" si="12"/>
        <v>2026</v>
      </c>
      <c r="L35" s="4">
        <f t="shared" si="12"/>
        <v>2026</v>
      </c>
      <c r="M35" s="4">
        <f t="shared" si="12"/>
        <v>2026</v>
      </c>
    </row>
    <row r="36" spans="1:13">
      <c r="B36" s="85">
        <v>46023</v>
      </c>
      <c r="C36" s="85">
        <v>46054</v>
      </c>
      <c r="D36" s="85">
        <v>46082</v>
      </c>
      <c r="E36" s="85">
        <v>46113</v>
      </c>
      <c r="F36" s="85">
        <v>46143</v>
      </c>
      <c r="G36" s="85">
        <v>46174</v>
      </c>
      <c r="H36" s="85">
        <v>46204</v>
      </c>
      <c r="I36" s="85">
        <v>46235</v>
      </c>
      <c r="J36" s="85">
        <v>46266</v>
      </c>
      <c r="K36" s="85">
        <v>46296</v>
      </c>
      <c r="L36" s="85">
        <v>46327</v>
      </c>
      <c r="M36" s="85">
        <v>46357</v>
      </c>
    </row>
    <row r="37" spans="1:13">
      <c r="A37" s="87" t="s">
        <v>159</v>
      </c>
      <c r="B37" s="143">
        <f>B30*(1+Предпосылки!$D$6)</f>
        <v>0.4792464870487867</v>
      </c>
      <c r="C37" s="143">
        <f>C30*(1+Предпосылки!$D$6)</f>
        <v>0.49600335722531769</v>
      </c>
      <c r="D37" s="143">
        <f>D30*(1+Предпосылки!$D$6)</f>
        <v>0.55632808986082927</v>
      </c>
      <c r="E37" s="143">
        <f>E30*(1+Предпосылки!$D$6)</f>
        <v>0.60324732635511613</v>
      </c>
      <c r="F37" s="143">
        <f>F30*(1+Предпосылки!$D$6)</f>
        <v>0.65016656284940288</v>
      </c>
      <c r="G37" s="143">
        <f>G30*(1+Предпосылки!$D$6)</f>
        <v>0.66022068495532149</v>
      </c>
      <c r="H37" s="143">
        <f>H30*(1+Предпосылки!$D$6)</f>
        <v>0.61330144846103474</v>
      </c>
      <c r="I37" s="143">
        <f>I30*(1+Предпосылки!$D$6)</f>
        <v>0.58649045617858508</v>
      </c>
      <c r="J37" s="143">
        <f>J30*(1+Предпосылки!$D$6)</f>
        <v>0.53621984564899206</v>
      </c>
      <c r="K37" s="143">
        <f>K30*(1+Предпосылки!$D$6)</f>
        <v>0.51611160143715495</v>
      </c>
      <c r="L37" s="143">
        <f>L30*(1+Предпосылки!$D$6)</f>
        <v>0.51946297547246101</v>
      </c>
      <c r="M37" s="143">
        <f>M30*(1+Предпосылки!$D$6)</f>
        <v>0.52616572354307356</v>
      </c>
    </row>
    <row r="38" spans="1:13">
      <c r="A38" s="87" t="s">
        <v>160</v>
      </c>
      <c r="B38" s="143">
        <f>B31*(1+Предпосылки!$D$6)</f>
        <v>0.48594923511939908</v>
      </c>
      <c r="C38" s="143">
        <f>C31*(1+Предпосылки!$D$6)</f>
        <v>0.49935473126062391</v>
      </c>
      <c r="D38" s="143">
        <f>D31*(1+Предпосылки!$D$6)</f>
        <v>0.5529767158255231</v>
      </c>
      <c r="E38" s="143">
        <f>E31*(1+Предпосылки!$D$6)</f>
        <v>0.62335557056695323</v>
      </c>
      <c r="F38" s="143">
        <f>F31*(1+Предпосылки!$D$6)</f>
        <v>0.67362618109654626</v>
      </c>
      <c r="G38" s="143">
        <f>G31*(1+Предпосылки!$D$6)</f>
        <v>0.7138426695202208</v>
      </c>
      <c r="H38" s="143">
        <f>H31*(1+Предпосылки!$D$6)</f>
        <v>0.6803289291671587</v>
      </c>
      <c r="I38" s="143">
        <f>I31*(1+Предпосылки!$D$6)</f>
        <v>0.64681518881409672</v>
      </c>
      <c r="J38" s="143">
        <f>J31*(1+Предпосылки!$D$6)</f>
        <v>0.5429225937196045</v>
      </c>
      <c r="K38" s="143">
        <f>K31*(1+Предпосылки!$D$6)</f>
        <v>0.50605747933123624</v>
      </c>
      <c r="L38" s="143">
        <f>L31*(1+Предпосылки!$D$6)</f>
        <v>0.48594923511939908</v>
      </c>
      <c r="M38" s="143">
        <f>M31*(1+Предпосылки!$D$6)</f>
        <v>0.49935473126062391</v>
      </c>
    </row>
    <row r="39" spans="1:13">
      <c r="A39" s="87" t="s">
        <v>161</v>
      </c>
      <c r="B39" s="143">
        <f>B32*(1+Предпосылки!$D$6)</f>
        <v>0.29827228914225179</v>
      </c>
      <c r="C39" s="143">
        <f>C32*(1+Предпосылки!$D$6)</f>
        <v>0.30162366317755807</v>
      </c>
      <c r="D39" s="143">
        <f>D32*(1+Предпосылки!$D$6)</f>
        <v>0.35524564774245726</v>
      </c>
      <c r="E39" s="143">
        <f>E32*(1+Предпосылки!$D$6)</f>
        <v>0.45913824283694943</v>
      </c>
      <c r="F39" s="143">
        <f>F32*(1+Предпосылки!$D$6)</f>
        <v>0.51946297547246101</v>
      </c>
      <c r="G39" s="143">
        <f>G32*(1+Предпосылки!$D$6)</f>
        <v>0.57978770810797264</v>
      </c>
      <c r="H39" s="143">
        <f>H32*(1+Предпосылки!$D$6)</f>
        <v>0.64346381477879055</v>
      </c>
      <c r="I39" s="143">
        <f>I32*(1+Предпосылки!$D$6)</f>
        <v>0.63005831863756567</v>
      </c>
      <c r="J39" s="143">
        <f>J32*(1+Предпосылки!$D$6)</f>
        <v>0.41892175441327512</v>
      </c>
      <c r="K39" s="143">
        <f>K32*(1+Предпосылки!$D$6)</f>
        <v>0.38875938809551924</v>
      </c>
      <c r="L39" s="143">
        <f>L32*(1+Предпосылки!$D$6)</f>
        <v>0.38875938809551924</v>
      </c>
      <c r="M39" s="143">
        <f>M32*(1+Предпосылки!$D$6)</f>
        <v>0.4792464870487867</v>
      </c>
    </row>
    <row r="40" spans="1:13">
      <c r="A40" s="87" t="s">
        <v>162</v>
      </c>
      <c r="B40" s="143">
        <f>B33*(1+Предпосылки!$D$6)</f>
        <v>0.48594923511939908</v>
      </c>
      <c r="C40" s="143">
        <f>C33*(1+Предпосылки!$D$6)</f>
        <v>0.56638221196674787</v>
      </c>
      <c r="D40" s="143">
        <f>D33*(1+Предпосылки!$D$6)</f>
        <v>0.78757289829695709</v>
      </c>
      <c r="E40" s="143">
        <f>E33*(1+Предпосылки!$D$6)</f>
        <v>0.92833060777981757</v>
      </c>
      <c r="F40" s="143">
        <f>F33*(1+Предпосылки!$D$6)</f>
        <v>0.66357205899062777</v>
      </c>
      <c r="G40" s="143">
        <f>G33*(1+Предпосылки!$D$6)</f>
        <v>0.532868471613686</v>
      </c>
      <c r="H40" s="143">
        <f>H33*(1+Предпосылки!$D$6)</f>
        <v>0.40551625827205023</v>
      </c>
      <c r="I40" s="143">
        <f>I33*(1+Предпосылки!$D$6)</f>
        <v>0.35189427370715104</v>
      </c>
      <c r="J40" s="143">
        <f>J33*(1+Предпосылки!$D$6)</f>
        <v>0.33513740353062005</v>
      </c>
      <c r="K40" s="143">
        <f>K33*(1+Предпосылки!$D$6)</f>
        <v>0.32508328142470144</v>
      </c>
      <c r="L40" s="143">
        <f>L33*(1+Предпосылки!$D$6)</f>
        <v>0.33513740353062005</v>
      </c>
      <c r="M40" s="143">
        <f>M33*(1+Предпосылки!$D$6)</f>
        <v>0.34519152563653865</v>
      </c>
    </row>
    <row r="42" spans="1:13">
      <c r="B42" s="4">
        <f t="shared" ref="B42:M42" si="13">YEAR(B43)</f>
        <v>2027</v>
      </c>
      <c r="C42" s="4">
        <f t="shared" si="13"/>
        <v>2027</v>
      </c>
      <c r="D42" s="4">
        <f t="shared" si="13"/>
        <v>2027</v>
      </c>
      <c r="E42" s="4">
        <f t="shared" si="13"/>
        <v>2027</v>
      </c>
      <c r="F42" s="4">
        <f t="shared" si="13"/>
        <v>2027</v>
      </c>
      <c r="G42" s="4">
        <f t="shared" si="13"/>
        <v>2027</v>
      </c>
      <c r="H42" s="4">
        <f t="shared" si="13"/>
        <v>2027</v>
      </c>
      <c r="I42" s="4">
        <f t="shared" si="13"/>
        <v>2027</v>
      </c>
      <c r="J42" s="4">
        <f t="shared" si="13"/>
        <v>2027</v>
      </c>
      <c r="K42" s="4">
        <f t="shared" si="13"/>
        <v>2027</v>
      </c>
      <c r="L42" s="4">
        <f t="shared" si="13"/>
        <v>2027</v>
      </c>
      <c r="M42" s="4">
        <f t="shared" si="13"/>
        <v>2027</v>
      </c>
    </row>
    <row r="43" spans="1:13">
      <c r="B43" s="85">
        <v>46388</v>
      </c>
      <c r="C43" s="85">
        <v>46419</v>
      </c>
      <c r="D43" s="85">
        <v>46447</v>
      </c>
      <c r="E43" s="85">
        <v>46478</v>
      </c>
      <c r="F43" s="85">
        <v>46508</v>
      </c>
      <c r="G43" s="85">
        <v>46539</v>
      </c>
      <c r="H43" s="85">
        <v>46569</v>
      </c>
      <c r="I43" s="85">
        <v>46600</v>
      </c>
      <c r="J43" s="85">
        <v>46631</v>
      </c>
      <c r="K43" s="85">
        <v>46661</v>
      </c>
      <c r="L43" s="85">
        <v>46692</v>
      </c>
      <c r="M43" s="85">
        <v>46722</v>
      </c>
    </row>
    <row r="44" spans="1:13">
      <c r="A44" s="87" t="s">
        <v>159</v>
      </c>
      <c r="B44" s="143">
        <f>B37*(1+Предпосылки!$E$6)</f>
        <v>0.50560504383646998</v>
      </c>
      <c r="C44" s="143">
        <f>C37*(1+Предпосылки!$E$6)</f>
        <v>0.52328354187271009</v>
      </c>
      <c r="D44" s="143">
        <f>D37*(1+Предпосылки!$E$6)</f>
        <v>0.58692613480317479</v>
      </c>
      <c r="E44" s="143">
        <f>E37*(1+Предпосылки!$E$6)</f>
        <v>0.63642592930464748</v>
      </c>
      <c r="F44" s="143">
        <f>F37*(1+Предпосылки!$E$6)</f>
        <v>0.68592572380612005</v>
      </c>
      <c r="G44" s="143">
        <f>G37*(1+Предпосылки!$E$6)</f>
        <v>0.69653282262786409</v>
      </c>
      <c r="H44" s="143">
        <f>H37*(1+Предпосылки!$E$6)</f>
        <v>0.64703302812639163</v>
      </c>
      <c r="I44" s="143">
        <f>I37*(1+Предпосылки!$E$6)</f>
        <v>0.61874743126840726</v>
      </c>
      <c r="J44" s="143">
        <f>J37*(1+Предпосылки!$E$6)</f>
        <v>0.5657119371596866</v>
      </c>
      <c r="K44" s="143">
        <f>K37*(1+Предпосылки!$E$6)</f>
        <v>0.5444977395161984</v>
      </c>
      <c r="L44" s="143">
        <f>L37*(1+Предпосылки!$E$6)</f>
        <v>0.54803343912344638</v>
      </c>
      <c r="M44" s="143">
        <f>M37*(1+Предпосылки!$E$6)</f>
        <v>0.55510483833794255</v>
      </c>
    </row>
    <row r="45" spans="1:13">
      <c r="A45" s="87" t="s">
        <v>160</v>
      </c>
      <c r="B45" s="143">
        <f>B38*(1+Предпосылки!$E$6)</f>
        <v>0.51267644305096605</v>
      </c>
      <c r="C45" s="143">
        <f>C38*(1+Предпосылки!$E$6)</f>
        <v>0.52681924147995818</v>
      </c>
      <c r="D45" s="143">
        <f>D38*(1+Предпосылки!$E$6)</f>
        <v>0.58339043519592682</v>
      </c>
      <c r="E45" s="143">
        <f>E38*(1+Предпосылки!$E$6)</f>
        <v>0.65764012694813567</v>
      </c>
      <c r="F45" s="143">
        <f>F38*(1+Предпосылки!$E$6)</f>
        <v>0.71067562105685622</v>
      </c>
      <c r="G45" s="143">
        <f>G38*(1+Предпосылки!$E$6)</f>
        <v>0.75310401634383295</v>
      </c>
      <c r="H45" s="143">
        <f>H38*(1+Предпосылки!$E$6)</f>
        <v>0.7177470202713524</v>
      </c>
      <c r="I45" s="143">
        <f>I38*(1+Предпосылки!$E$6)</f>
        <v>0.68239002419887196</v>
      </c>
      <c r="J45" s="143">
        <f>J38*(1+Предпосылки!$E$6)</f>
        <v>0.57278333637418266</v>
      </c>
      <c r="K45" s="143">
        <f>K38*(1+Предпосылки!$E$6)</f>
        <v>0.53389064069445424</v>
      </c>
      <c r="L45" s="143">
        <f>L38*(1+Предпосылки!$E$6)</f>
        <v>0.51267644305096605</v>
      </c>
      <c r="M45" s="143">
        <f>M38*(1+Предпосылки!$E$6)</f>
        <v>0.52681924147995818</v>
      </c>
    </row>
    <row r="46" spans="1:13">
      <c r="A46" s="87" t="s">
        <v>161</v>
      </c>
      <c r="B46" s="143">
        <f>B39*(1+Предпосылки!$E$6)</f>
        <v>0.31467726504507559</v>
      </c>
      <c r="C46" s="143">
        <f>C39*(1+Предпосылки!$E$6)</f>
        <v>0.31821296465232374</v>
      </c>
      <c r="D46" s="143">
        <f>D39*(1+Предпосылки!$E$6)</f>
        <v>0.37478415836829237</v>
      </c>
      <c r="E46" s="143">
        <f>E39*(1+Предпосылки!$E$6)</f>
        <v>0.48439084619298162</v>
      </c>
      <c r="F46" s="143">
        <f>F39*(1+Предпосылки!$E$6)</f>
        <v>0.54803343912344638</v>
      </c>
      <c r="G46" s="143">
        <f>G39*(1+Предпосылки!$E$6)</f>
        <v>0.61167603205391108</v>
      </c>
      <c r="H46" s="143">
        <f>H39*(1+Предпосылки!$E$6)</f>
        <v>0.67885432459162398</v>
      </c>
      <c r="I46" s="143">
        <f>I39*(1+Предпосылки!$E$6)</f>
        <v>0.66471152616263174</v>
      </c>
      <c r="J46" s="143">
        <f>J39*(1+Предпосылки!$E$6)</f>
        <v>0.44196245090600522</v>
      </c>
      <c r="K46" s="143">
        <f>K39*(1+Предпосылки!$E$6)</f>
        <v>0.41014115444077276</v>
      </c>
      <c r="L46" s="143">
        <f>L39*(1+Предпосылки!$E$6)</f>
        <v>0.41014115444077276</v>
      </c>
      <c r="M46" s="143">
        <f>M39*(1+Предпосылки!$E$6)</f>
        <v>0.50560504383646998</v>
      </c>
    </row>
    <row r="47" spans="1:13">
      <c r="A47" s="87" t="s">
        <v>162</v>
      </c>
      <c r="B47" s="143">
        <f>B40*(1+Предпосылки!$E$6)</f>
        <v>0.51267644305096605</v>
      </c>
      <c r="C47" s="143">
        <f>C40*(1+Предпосылки!$E$6)</f>
        <v>0.59753323362491895</v>
      </c>
      <c r="D47" s="143">
        <f>D40*(1+Предпосылки!$E$6)</f>
        <v>0.83088940770328967</v>
      </c>
      <c r="E47" s="143">
        <f>E40*(1+Предпосылки!$E$6)</f>
        <v>0.9793887912077075</v>
      </c>
      <c r="F47" s="143">
        <f>F40*(1+Предпосылки!$E$6)</f>
        <v>0.70006852223511229</v>
      </c>
      <c r="G47" s="143">
        <f>G40*(1+Предпосылки!$E$6)</f>
        <v>0.56217623755243873</v>
      </c>
      <c r="H47" s="143">
        <f>H40*(1+Предпосылки!$E$6)</f>
        <v>0.42781965247701298</v>
      </c>
      <c r="I47" s="143">
        <f>I40*(1+Предпосылки!$E$6)</f>
        <v>0.37124845876104434</v>
      </c>
      <c r="J47" s="143">
        <f>J40*(1+Предпосылки!$E$6)</f>
        <v>0.35356996072480412</v>
      </c>
      <c r="K47" s="143">
        <f>K40*(1+Предпосылки!$E$6)</f>
        <v>0.34296286190306002</v>
      </c>
      <c r="L47" s="143">
        <f>L40*(1+Предпосылки!$E$6)</f>
        <v>0.35356996072480412</v>
      </c>
      <c r="M47" s="143">
        <f>M40*(1+Предпосылки!$E$6)</f>
        <v>0.36417705954654828</v>
      </c>
    </row>
    <row r="49" spans="1:13">
      <c r="B49" s="4">
        <f t="shared" ref="B49:M49" si="14">YEAR(B50)</f>
        <v>2028</v>
      </c>
      <c r="C49" s="4">
        <f t="shared" si="14"/>
        <v>2028</v>
      </c>
      <c r="D49" s="4">
        <f t="shared" si="14"/>
        <v>2028</v>
      </c>
      <c r="E49" s="4">
        <f t="shared" si="14"/>
        <v>2028</v>
      </c>
      <c r="F49" s="4">
        <f t="shared" si="14"/>
        <v>2028</v>
      </c>
      <c r="G49" s="4">
        <f t="shared" si="14"/>
        <v>2028</v>
      </c>
      <c r="H49" s="4">
        <f t="shared" si="14"/>
        <v>2028</v>
      </c>
      <c r="I49" s="4">
        <f t="shared" si="14"/>
        <v>2028</v>
      </c>
      <c r="J49" s="4">
        <f t="shared" si="14"/>
        <v>2028</v>
      </c>
      <c r="K49" s="4">
        <f t="shared" si="14"/>
        <v>2028</v>
      </c>
      <c r="L49" s="4">
        <f t="shared" si="14"/>
        <v>2028</v>
      </c>
      <c r="M49" s="4">
        <f t="shared" si="14"/>
        <v>2028</v>
      </c>
    </row>
    <row r="50" spans="1:13">
      <c r="B50" s="85">
        <v>46753</v>
      </c>
      <c r="C50" s="85">
        <v>46784</v>
      </c>
      <c r="D50" s="85">
        <v>46813</v>
      </c>
      <c r="E50" s="85">
        <v>46844</v>
      </c>
      <c r="F50" s="85">
        <v>46874</v>
      </c>
      <c r="G50" s="85">
        <v>46905</v>
      </c>
      <c r="H50" s="85">
        <v>46935</v>
      </c>
      <c r="I50" s="85">
        <v>46966</v>
      </c>
      <c r="J50" s="85">
        <v>46997</v>
      </c>
      <c r="K50" s="85">
        <v>47027</v>
      </c>
      <c r="L50" s="85">
        <v>47058</v>
      </c>
      <c r="M50" s="85">
        <v>47088</v>
      </c>
    </row>
    <row r="51" spans="1:13">
      <c r="A51" s="87" t="s">
        <v>159</v>
      </c>
      <c r="B51" s="143">
        <f>B44*(1+Предпосылки!$F$6)</f>
        <v>0.53341332124747576</v>
      </c>
      <c r="C51" s="143">
        <f>C44*(1+Предпосылки!$F$6)</f>
        <v>0.55206413667570908</v>
      </c>
      <c r="D51" s="143">
        <f>D44*(1+Предпосылки!$F$6)</f>
        <v>0.61920707221734939</v>
      </c>
      <c r="E51" s="143">
        <f>E44*(1+Предпосылки!$F$6)</f>
        <v>0.67142935541640303</v>
      </c>
      <c r="F51" s="143">
        <f>F44*(1+Предпосылки!$F$6)</f>
        <v>0.72365163861545656</v>
      </c>
      <c r="G51" s="143">
        <f>G44*(1+Предпосылки!$F$6)</f>
        <v>0.73484212787239656</v>
      </c>
      <c r="H51" s="143">
        <f>H44*(1+Предпосылки!$F$6)</f>
        <v>0.68261984467334313</v>
      </c>
      <c r="I51" s="143">
        <f>I44*(1+Предпосылки!$F$6)</f>
        <v>0.65277853998816959</v>
      </c>
      <c r="J51" s="143">
        <f>J44*(1+Предпосылки!$F$6)</f>
        <v>0.59682609370346928</v>
      </c>
      <c r="K51" s="143">
        <f>K44*(1+Предпосылки!$F$6)</f>
        <v>0.57444511518958929</v>
      </c>
      <c r="L51" s="143">
        <f>L44*(1+Предпосылки!$F$6)</f>
        <v>0.57817527827523585</v>
      </c>
      <c r="M51" s="143">
        <f>M44*(1+Предпосылки!$F$6)</f>
        <v>0.5856356044465294</v>
      </c>
    </row>
    <row r="52" spans="1:13">
      <c r="A52" s="87" t="s">
        <v>160</v>
      </c>
      <c r="B52" s="143">
        <f>B45*(1+Предпосылки!$F$6)</f>
        <v>0.5408736474187692</v>
      </c>
      <c r="C52" s="143">
        <f>C45*(1+Предпосылки!$F$6)</f>
        <v>0.55579429976135586</v>
      </c>
      <c r="D52" s="143">
        <f>D45*(1+Предпосылки!$F$6)</f>
        <v>0.61547690913170272</v>
      </c>
      <c r="E52" s="143">
        <f>E45*(1+Предпосылки!$F$6)</f>
        <v>0.69381033393028313</v>
      </c>
      <c r="F52" s="143">
        <f>F45*(1+Предпосылки!$F$6)</f>
        <v>0.74976278021498322</v>
      </c>
      <c r="G52" s="143">
        <f>G45*(1+Предпосылки!$F$6)</f>
        <v>0.79452473724274375</v>
      </c>
      <c r="H52" s="143">
        <f>H45*(1+Предпосылки!$F$6)</f>
        <v>0.75722310638627677</v>
      </c>
      <c r="I52" s="143">
        <f>I45*(1+Предпосылки!$F$6)</f>
        <v>0.7199214755298099</v>
      </c>
      <c r="J52" s="143">
        <f>J45*(1+Предпосылки!$F$6)</f>
        <v>0.60428641987476273</v>
      </c>
      <c r="K52" s="143">
        <f>K45*(1+Предпосылки!$F$6)</f>
        <v>0.56325462593264919</v>
      </c>
      <c r="L52" s="143">
        <f>L45*(1+Предпосылки!$F$6)</f>
        <v>0.5408736474187692</v>
      </c>
      <c r="M52" s="143">
        <f>M45*(1+Предпосылки!$F$6)</f>
        <v>0.55579429976135586</v>
      </c>
    </row>
    <row r="53" spans="1:13">
      <c r="A53" s="87" t="s">
        <v>161</v>
      </c>
      <c r="B53" s="143">
        <f>B46*(1+Предпосылки!$F$6)</f>
        <v>0.33198451462255474</v>
      </c>
      <c r="C53" s="143">
        <f>C46*(1+Предпосылки!$F$6)</f>
        <v>0.33571467770820151</v>
      </c>
      <c r="D53" s="143">
        <f>D46*(1+Предпосылки!$F$6)</f>
        <v>0.39539728707854843</v>
      </c>
      <c r="E53" s="143">
        <f>E46*(1+Предпосылки!$F$6)</f>
        <v>0.51103234273359555</v>
      </c>
      <c r="F53" s="143">
        <f>F46*(1+Предпосылки!$F$6)</f>
        <v>0.57817527827523585</v>
      </c>
      <c r="G53" s="143">
        <f>G46*(1+Предпосылки!$F$6)</f>
        <v>0.64531821381687615</v>
      </c>
      <c r="H53" s="143">
        <f>H46*(1+Предпосылки!$F$6)</f>
        <v>0.71619131244416323</v>
      </c>
      <c r="I53" s="143">
        <f>I46*(1+Предпосылки!$F$6)</f>
        <v>0.70127066010157646</v>
      </c>
      <c r="J53" s="143">
        <f>J46*(1+Предпосылки!$F$6)</f>
        <v>0.46627038570583546</v>
      </c>
      <c r="K53" s="143">
        <f>K46*(1+Предпосылки!$F$6)</f>
        <v>0.43269891793501525</v>
      </c>
      <c r="L53" s="143">
        <f>L46*(1+Предпосылки!$F$6)</f>
        <v>0.43269891793501525</v>
      </c>
      <c r="M53" s="143">
        <f>M46*(1+Предпосылки!$F$6)</f>
        <v>0.53341332124747576</v>
      </c>
    </row>
    <row r="54" spans="1:13">
      <c r="A54" s="87" t="s">
        <v>162</v>
      </c>
      <c r="B54" s="143">
        <f>B47*(1+Предпосылки!$F$6)</f>
        <v>0.5408736474187692</v>
      </c>
      <c r="C54" s="143">
        <f>C47*(1+Предпосылки!$F$6)</f>
        <v>0.63039756147428949</v>
      </c>
      <c r="D54" s="143">
        <f>D47*(1+Предпосылки!$F$6)</f>
        <v>0.8765883251269706</v>
      </c>
      <c r="E54" s="143">
        <f>E47*(1+Предпосылки!$F$6)</f>
        <v>1.0332551747241314</v>
      </c>
      <c r="F54" s="143">
        <f>F47*(1+Предпосылки!$F$6)</f>
        <v>0.73857229095804344</v>
      </c>
      <c r="G54" s="143">
        <f>G47*(1+Предпосылки!$F$6)</f>
        <v>0.59309593061782284</v>
      </c>
      <c r="H54" s="143">
        <f>H47*(1+Предпосылки!$F$6)</f>
        <v>0.45134973336324868</v>
      </c>
      <c r="I54" s="143">
        <f>I47*(1+Предпосылки!$F$6)</f>
        <v>0.39166712399290177</v>
      </c>
      <c r="J54" s="143">
        <f>J47*(1+Предпосылки!$F$6)</f>
        <v>0.37301630856466833</v>
      </c>
      <c r="K54" s="143">
        <f>K47*(1+Предпосылки!$F$6)</f>
        <v>0.36182581930772828</v>
      </c>
      <c r="L54" s="143">
        <f>L47*(1+Предпосылки!$F$6)</f>
        <v>0.37301630856466833</v>
      </c>
      <c r="M54" s="143">
        <f>M47*(1+Предпосылки!$F$6)</f>
        <v>0.38420679782160838</v>
      </c>
    </row>
    <row r="56" spans="1:13">
      <c r="B56" s="4">
        <f t="shared" ref="B56:M56" si="15">YEAR(B57)</f>
        <v>2029</v>
      </c>
      <c r="C56" s="4">
        <f t="shared" si="15"/>
        <v>2029</v>
      </c>
      <c r="D56" s="4">
        <f t="shared" si="15"/>
        <v>2029</v>
      </c>
      <c r="E56" s="4">
        <f t="shared" si="15"/>
        <v>2029</v>
      </c>
      <c r="F56" s="4">
        <f t="shared" si="15"/>
        <v>2029</v>
      </c>
      <c r="G56" s="4">
        <f t="shared" si="15"/>
        <v>2029</v>
      </c>
      <c r="H56" s="4">
        <f t="shared" si="15"/>
        <v>2029</v>
      </c>
      <c r="I56" s="4">
        <f t="shared" si="15"/>
        <v>2029</v>
      </c>
      <c r="J56" s="4">
        <f t="shared" si="15"/>
        <v>2029</v>
      </c>
      <c r="K56" s="4">
        <f t="shared" si="15"/>
        <v>2029</v>
      </c>
      <c r="L56" s="4">
        <f t="shared" si="15"/>
        <v>2029</v>
      </c>
      <c r="M56" s="4">
        <f t="shared" si="15"/>
        <v>2029</v>
      </c>
    </row>
    <row r="57" spans="1:13">
      <c r="B57" s="85">
        <v>47119</v>
      </c>
      <c r="C57" s="85">
        <v>47150</v>
      </c>
      <c r="D57" s="85">
        <v>47178</v>
      </c>
      <c r="E57" s="85">
        <v>47209</v>
      </c>
      <c r="F57" s="85">
        <v>47239</v>
      </c>
      <c r="G57" s="85">
        <v>47270</v>
      </c>
      <c r="H57" s="85">
        <v>47300</v>
      </c>
      <c r="I57" s="85">
        <v>47331</v>
      </c>
      <c r="J57" s="85">
        <v>47362</v>
      </c>
      <c r="K57" s="85">
        <v>47392</v>
      </c>
      <c r="L57" s="85">
        <v>47423</v>
      </c>
      <c r="M57" s="85">
        <v>47453</v>
      </c>
    </row>
    <row r="58" spans="1:13">
      <c r="A58" s="87" t="s">
        <v>159</v>
      </c>
      <c r="B58" s="143">
        <f>B51*(1+Предпосылки!$G$6)</f>
        <v>0.56275105391608693</v>
      </c>
      <c r="C58" s="143">
        <f>C51*(1+Предпосылки!$G$6)</f>
        <v>0.58242766419287306</v>
      </c>
      <c r="D58" s="143">
        <f>D51*(1+Предпосылки!$G$6)</f>
        <v>0.65326346118930356</v>
      </c>
      <c r="E58" s="143">
        <f>E51*(1+Предпосылки!$G$6)</f>
        <v>0.70835796996430511</v>
      </c>
      <c r="F58" s="143">
        <f>F51*(1+Предпосылки!$G$6)</f>
        <v>0.76345247873930666</v>
      </c>
      <c r="G58" s="143">
        <f>G51*(1+Предпосылки!$G$6)</f>
        <v>0.77525844490537832</v>
      </c>
      <c r="H58" s="143">
        <f>H51*(1+Предпосылки!$G$6)</f>
        <v>0.72016393613037699</v>
      </c>
      <c r="I58" s="143">
        <f>I51*(1+Предпосылки!$G$6)</f>
        <v>0.68868135968751887</v>
      </c>
      <c r="J58" s="143">
        <f>J51*(1+Предпосылки!$G$6)</f>
        <v>0.62965152885716003</v>
      </c>
      <c r="K58" s="143">
        <f>K51*(1+Предпосылки!$G$6)</f>
        <v>0.60603959652501671</v>
      </c>
      <c r="L58" s="143">
        <f>L51*(1+Предпосылки!$G$6)</f>
        <v>0.60997491858037378</v>
      </c>
      <c r="M58" s="143">
        <f>M51*(1+Предпосылки!$G$6)</f>
        <v>0.61784556269108848</v>
      </c>
    </row>
    <row r="59" spans="1:13">
      <c r="A59" s="87" t="s">
        <v>160</v>
      </c>
      <c r="B59" s="143">
        <f>B52*(1+Предпосылки!$G$6)</f>
        <v>0.57062169802680152</v>
      </c>
      <c r="C59" s="143">
        <f>C52*(1+Предпосылки!$G$6)</f>
        <v>0.58636298624823036</v>
      </c>
      <c r="D59" s="143">
        <f>D52*(1+Предпосылки!$G$6)</f>
        <v>0.64932813913394638</v>
      </c>
      <c r="E59" s="143">
        <f>E52*(1+Предпосылки!$G$6)</f>
        <v>0.73196990229644865</v>
      </c>
      <c r="F59" s="143">
        <f>F52*(1+Предпосылки!$G$6)</f>
        <v>0.79099973312680727</v>
      </c>
      <c r="G59" s="143">
        <f>G52*(1+Предпосылки!$G$6)</f>
        <v>0.83822359779109457</v>
      </c>
      <c r="H59" s="143">
        <f>H52*(1+Предпосылки!$G$6)</f>
        <v>0.79887037723752197</v>
      </c>
      <c r="I59" s="143">
        <f>I52*(1+Предпосылки!$G$6)</f>
        <v>0.75951715668394937</v>
      </c>
      <c r="J59" s="143">
        <f>J52*(1+Предпосылки!$G$6)</f>
        <v>0.63752217296787461</v>
      </c>
      <c r="K59" s="143">
        <f>K52*(1+Предпосылки!$G$6)</f>
        <v>0.59423363035894483</v>
      </c>
      <c r="L59" s="143">
        <f>L52*(1+Предпосылки!$G$6)</f>
        <v>0.57062169802680152</v>
      </c>
      <c r="M59" s="143">
        <f>M52*(1+Предпосылки!$G$6)</f>
        <v>0.58636298624823036</v>
      </c>
    </row>
    <row r="60" spans="1:13">
      <c r="A60" s="87" t="s">
        <v>161</v>
      </c>
      <c r="B60" s="143">
        <f>B53*(1+Предпосылки!$G$6)</f>
        <v>0.35024366292679521</v>
      </c>
      <c r="C60" s="143">
        <f>C53*(1+Предпосылки!$G$6)</f>
        <v>0.35417898498215256</v>
      </c>
      <c r="D60" s="143">
        <f>D53*(1+Предпосылки!$G$6)</f>
        <v>0.41714413786786858</v>
      </c>
      <c r="E60" s="143">
        <f>E53*(1+Предпосылки!$G$6)</f>
        <v>0.53913912158394328</v>
      </c>
      <c r="F60" s="143">
        <f>F53*(1+Предпосылки!$G$6)</f>
        <v>0.60997491858037378</v>
      </c>
      <c r="G60" s="143">
        <f>G53*(1+Предпосылки!$G$6)</f>
        <v>0.68081071557680428</v>
      </c>
      <c r="H60" s="143">
        <f>H53*(1+Предпосылки!$G$6)</f>
        <v>0.75558183462859219</v>
      </c>
      <c r="I60" s="143">
        <f>I53*(1+Предпосылки!$G$6)</f>
        <v>0.73984054640716312</v>
      </c>
      <c r="J60" s="143">
        <f>J53*(1+Предпосылки!$G$6)</f>
        <v>0.49191525691965637</v>
      </c>
      <c r="K60" s="143">
        <f>K53*(1+Предпосылки!$G$6)</f>
        <v>0.45649735842144107</v>
      </c>
      <c r="L60" s="143">
        <f>L53*(1+Предпосылки!$G$6)</f>
        <v>0.45649735842144107</v>
      </c>
      <c r="M60" s="143">
        <f>M53*(1+Предпосылки!$G$6)</f>
        <v>0.56275105391608693</v>
      </c>
    </row>
    <row r="61" spans="1:13">
      <c r="A61" s="87" t="s">
        <v>162</v>
      </c>
      <c r="B61" s="143">
        <f>B54*(1+Предпосылки!$G$6)</f>
        <v>0.57062169802680152</v>
      </c>
      <c r="C61" s="143">
        <f>C54*(1+Предпосылки!$G$6)</f>
        <v>0.66506942735537533</v>
      </c>
      <c r="D61" s="143">
        <f>D54*(1+Предпосылки!$G$6)</f>
        <v>0.92480068300895391</v>
      </c>
      <c r="E61" s="143">
        <f>E54*(1+Предпосылки!$G$6)</f>
        <v>1.0900842093339587</v>
      </c>
      <c r="F61" s="143">
        <f>F54*(1+Предпосылки!$G$6)</f>
        <v>0.77919376696073583</v>
      </c>
      <c r="G61" s="143">
        <f>G54*(1+Предпосылки!$G$6)</f>
        <v>0.62571620680180307</v>
      </c>
      <c r="H61" s="143">
        <f>H54*(1+Предпосылки!$G$6)</f>
        <v>0.47617396869822731</v>
      </c>
      <c r="I61" s="143">
        <f>I54*(1+Предпосылки!$G$6)</f>
        <v>0.41320881581251134</v>
      </c>
      <c r="J61" s="143">
        <f>J54*(1+Предпосылки!$G$6)</f>
        <v>0.39353220553572504</v>
      </c>
      <c r="K61" s="143">
        <f>K54*(1+Предпосылки!$G$6)</f>
        <v>0.38172623936965333</v>
      </c>
      <c r="L61" s="143">
        <f>L54*(1+Предпосылки!$G$6)</f>
        <v>0.39353220553572504</v>
      </c>
      <c r="M61" s="143">
        <f>M54*(1+Предпосылки!$G$6)</f>
        <v>0.40533817170179681</v>
      </c>
    </row>
    <row r="63" spans="1:13">
      <c r="B63" s="4">
        <f t="shared" ref="B63:M63" si="16">YEAR(B64)</f>
        <v>2030</v>
      </c>
      <c r="C63" s="4">
        <f t="shared" si="16"/>
        <v>2030</v>
      </c>
      <c r="D63" s="4">
        <f t="shared" si="16"/>
        <v>2030</v>
      </c>
      <c r="E63" s="4">
        <f t="shared" si="16"/>
        <v>2030</v>
      </c>
      <c r="F63" s="4">
        <f t="shared" si="16"/>
        <v>2030</v>
      </c>
      <c r="G63" s="4">
        <f t="shared" si="16"/>
        <v>2030</v>
      </c>
      <c r="H63" s="4">
        <f t="shared" si="16"/>
        <v>2030</v>
      </c>
      <c r="I63" s="4">
        <f t="shared" si="16"/>
        <v>2030</v>
      </c>
      <c r="J63" s="4">
        <f t="shared" si="16"/>
        <v>2030</v>
      </c>
      <c r="K63" s="4">
        <f t="shared" si="16"/>
        <v>2030</v>
      </c>
      <c r="L63" s="4">
        <f t="shared" si="16"/>
        <v>2030</v>
      </c>
      <c r="M63" s="4">
        <f t="shared" si="16"/>
        <v>2030</v>
      </c>
    </row>
    <row r="64" spans="1:13">
      <c r="B64" s="85">
        <v>47484</v>
      </c>
      <c r="C64" s="85">
        <v>47515</v>
      </c>
      <c r="D64" s="85">
        <v>47543</v>
      </c>
      <c r="E64" s="85">
        <v>47574</v>
      </c>
      <c r="F64" s="85">
        <v>47604</v>
      </c>
      <c r="G64" s="85">
        <v>47635</v>
      </c>
      <c r="H64" s="85">
        <v>47665</v>
      </c>
      <c r="I64" s="85">
        <v>47696</v>
      </c>
      <c r="J64" s="85">
        <v>47727</v>
      </c>
      <c r="K64" s="85">
        <v>47757</v>
      </c>
      <c r="L64" s="85">
        <v>47788</v>
      </c>
      <c r="M64" s="85">
        <v>47818</v>
      </c>
    </row>
    <row r="65" spans="1:13">
      <c r="A65" s="87" t="s">
        <v>159</v>
      </c>
      <c r="B65" s="143">
        <f>B58*(1+Предпосылки!$H$6)</f>
        <v>0.59370236188147163</v>
      </c>
      <c r="C65" s="143">
        <f>C58*(1+Предпосылки!$H$6)</f>
        <v>0.61446118572348107</v>
      </c>
      <c r="D65" s="143">
        <f>D58*(1+Предпосылки!$H$6)</f>
        <v>0.68919295155471527</v>
      </c>
      <c r="E65" s="143">
        <f>E58*(1+Предпосылки!$H$6)</f>
        <v>0.74731765831234187</v>
      </c>
      <c r="F65" s="143">
        <f>F58*(1+Предпосылки!$H$6)</f>
        <v>0.80544236506996847</v>
      </c>
      <c r="G65" s="143">
        <f>G58*(1+Предпосылки!$H$6)</f>
        <v>0.81789765937517411</v>
      </c>
      <c r="H65" s="143">
        <f>H58*(1+Предпосылки!$H$6)</f>
        <v>0.75977295261754774</v>
      </c>
      <c r="I65" s="143">
        <f>I58*(1+Предпосылки!$H$6)</f>
        <v>0.72655883447033232</v>
      </c>
      <c r="J65" s="143">
        <f>J58*(1+Предпосылки!$H$6)</f>
        <v>0.66428236294430376</v>
      </c>
      <c r="K65" s="143">
        <f>K58*(1+Предпосылки!$H$6)</f>
        <v>0.63937177433389258</v>
      </c>
      <c r="L65" s="143">
        <f>L58*(1+Предпосылки!$H$6)</f>
        <v>0.64352353910229432</v>
      </c>
      <c r="M65" s="143">
        <f>M58*(1+Предпосылки!$H$6)</f>
        <v>0.65182706863909834</v>
      </c>
    </row>
    <row r="66" spans="1:13">
      <c r="A66" s="87" t="s">
        <v>160</v>
      </c>
      <c r="B66" s="143">
        <f>B59*(1+Предпосылки!$H$6)</f>
        <v>0.60200589141827554</v>
      </c>
      <c r="C66" s="143">
        <f>C59*(1+Предпосылки!$H$6)</f>
        <v>0.61861295049188303</v>
      </c>
      <c r="D66" s="143">
        <f>D59*(1+Предпосылки!$H$6)</f>
        <v>0.68504118678631343</v>
      </c>
      <c r="E66" s="143">
        <f>E59*(1+Предпосылки!$H$6)</f>
        <v>0.77222824692275327</v>
      </c>
      <c r="F66" s="143">
        <f>F59*(1+Предпосылки!$H$6)</f>
        <v>0.8345047184487816</v>
      </c>
      <c r="G66" s="143">
        <f>G59*(1+Предпосылки!$H$6)</f>
        <v>0.88432589566960473</v>
      </c>
      <c r="H66" s="143">
        <f>H59*(1+Предпосылки!$H$6)</f>
        <v>0.84280824798558562</v>
      </c>
      <c r="I66" s="143">
        <f>I59*(1+Предпосылки!$H$6)</f>
        <v>0.80129060030156651</v>
      </c>
      <c r="J66" s="143">
        <f>J59*(1+Предпосылки!$H$6)</f>
        <v>0.67258589248110767</v>
      </c>
      <c r="K66" s="143">
        <f>K59*(1+Предпосылки!$H$6)</f>
        <v>0.62691648002868672</v>
      </c>
      <c r="L66" s="143">
        <f>L59*(1+Предпосылки!$H$6)</f>
        <v>0.60200589141827554</v>
      </c>
      <c r="M66" s="143">
        <f>M59*(1+Предпосылки!$H$6)</f>
        <v>0.61861295049188303</v>
      </c>
    </row>
    <row r="67" spans="1:13">
      <c r="A67" s="87" t="s">
        <v>161</v>
      </c>
      <c r="B67" s="143">
        <f>B60*(1+Предпосылки!$H$6)</f>
        <v>0.36950706438776892</v>
      </c>
      <c r="C67" s="143">
        <f>C60*(1+Предпосылки!$H$6)</f>
        <v>0.37365882915617094</v>
      </c>
      <c r="D67" s="143">
        <f>D60*(1+Предпосылки!$H$6)</f>
        <v>0.44008706545060133</v>
      </c>
      <c r="E67" s="143">
        <f>E60*(1+Предпосылки!$H$6)</f>
        <v>0.56879177327106012</v>
      </c>
      <c r="F67" s="143">
        <f>F60*(1+Предпосылки!$H$6)</f>
        <v>0.64352353910229432</v>
      </c>
      <c r="G67" s="143">
        <f>G60*(1+Предпосылки!$H$6)</f>
        <v>0.71825530493352852</v>
      </c>
      <c r="H67" s="143">
        <f>H60*(1+Предпосылки!$H$6)</f>
        <v>0.79713883553316467</v>
      </c>
      <c r="I67" s="143">
        <f>I60*(1+Предпосылки!$H$6)</f>
        <v>0.78053177645955707</v>
      </c>
      <c r="J67" s="143">
        <f>J60*(1+Предпосылки!$H$6)</f>
        <v>0.51897059605023743</v>
      </c>
      <c r="K67" s="143">
        <f>K60*(1+Предпосылки!$H$6)</f>
        <v>0.48160471313462028</v>
      </c>
      <c r="L67" s="143">
        <f>L60*(1+Предпосылки!$H$6)</f>
        <v>0.48160471313462028</v>
      </c>
      <c r="M67" s="143">
        <f>M60*(1+Предпосылки!$H$6)</f>
        <v>0.59370236188147163</v>
      </c>
    </row>
    <row r="68" spans="1:13">
      <c r="A68" s="87" t="s">
        <v>162</v>
      </c>
      <c r="B68" s="143">
        <f>B61*(1+Предпосылки!$H$6)</f>
        <v>0.60200589141827554</v>
      </c>
      <c r="C68" s="143">
        <f>C61*(1+Предпосылки!$H$6)</f>
        <v>0.70164824585992092</v>
      </c>
      <c r="D68" s="143">
        <f>D61*(1+Предпосылки!$H$6)</f>
        <v>0.97566472057444631</v>
      </c>
      <c r="E68" s="143">
        <f>E61*(1+Предпосылки!$H$6)</f>
        <v>1.1500388408473263</v>
      </c>
      <c r="F68" s="143">
        <f>F61*(1+Предпосылки!$H$6)</f>
        <v>0.82204942414357629</v>
      </c>
      <c r="G68" s="143">
        <f>G61*(1+Предпосылки!$H$6)</f>
        <v>0.66013059817590225</v>
      </c>
      <c r="H68" s="143">
        <f>H61*(1+Предпосылки!$H$6)</f>
        <v>0.50236353697662983</v>
      </c>
      <c r="I68" s="143">
        <f>I61*(1+Предпосылки!$H$6)</f>
        <v>0.43593530068219943</v>
      </c>
      <c r="J68" s="143">
        <f>J61*(1+Предпосылки!$H$6)</f>
        <v>0.41517647684018988</v>
      </c>
      <c r="K68" s="143">
        <f>K61*(1+Предпосылки!$H$6)</f>
        <v>0.40272118253498423</v>
      </c>
      <c r="L68" s="143">
        <f>L61*(1+Предпосылки!$H$6)</f>
        <v>0.41517647684018988</v>
      </c>
      <c r="M68" s="143">
        <f>M61*(1+Предпосылки!$H$6)</f>
        <v>0.42763177114539563</v>
      </c>
    </row>
    <row r="70" spans="1:13">
      <c r="B70" s="4">
        <f t="shared" ref="B70:M70" si="17">YEAR(B71)</f>
        <v>2031</v>
      </c>
      <c r="C70" s="4">
        <f t="shared" si="17"/>
        <v>2031</v>
      </c>
      <c r="D70" s="4">
        <f t="shared" si="17"/>
        <v>2031</v>
      </c>
      <c r="E70" s="4">
        <f t="shared" si="17"/>
        <v>2031</v>
      </c>
      <c r="F70" s="4">
        <f t="shared" si="17"/>
        <v>2031</v>
      </c>
      <c r="G70" s="4">
        <f t="shared" si="17"/>
        <v>2031</v>
      </c>
      <c r="H70" s="4">
        <f t="shared" si="17"/>
        <v>2031</v>
      </c>
      <c r="I70" s="4">
        <f t="shared" si="17"/>
        <v>2031</v>
      </c>
      <c r="J70" s="4">
        <f t="shared" si="17"/>
        <v>2031</v>
      </c>
      <c r="K70" s="4">
        <f t="shared" si="17"/>
        <v>2031</v>
      </c>
      <c r="L70" s="4">
        <f t="shared" si="17"/>
        <v>2031</v>
      </c>
      <c r="M70" s="4">
        <f t="shared" si="17"/>
        <v>2031</v>
      </c>
    </row>
    <row r="71" spans="1:13">
      <c r="B71" s="85">
        <v>47849</v>
      </c>
      <c r="C71" s="85">
        <v>47880</v>
      </c>
      <c r="D71" s="85">
        <v>47908</v>
      </c>
      <c r="E71" s="85">
        <v>47939</v>
      </c>
      <c r="F71" s="85">
        <v>47969</v>
      </c>
      <c r="G71" s="85">
        <v>48000</v>
      </c>
      <c r="H71" s="85">
        <v>48030</v>
      </c>
      <c r="I71" s="85">
        <v>48061</v>
      </c>
      <c r="J71" s="85">
        <v>48092</v>
      </c>
      <c r="K71" s="85">
        <v>48122</v>
      </c>
      <c r="L71" s="85">
        <v>48153</v>
      </c>
      <c r="M71" s="85">
        <v>48183</v>
      </c>
    </row>
    <row r="72" spans="1:13">
      <c r="A72" s="87" t="s">
        <v>159</v>
      </c>
      <c r="B72" s="143">
        <f>B65*(1+Предпосылки!$I$6)</f>
        <v>0.62635599178495249</v>
      </c>
      <c r="C72" s="143">
        <f>C65*(1+Предпосылки!$I$6)</f>
        <v>0.6482565509382725</v>
      </c>
      <c r="D72" s="143">
        <f>D65*(1+Предпосылки!$I$6)</f>
        <v>0.72709856389022454</v>
      </c>
      <c r="E72" s="143">
        <f>E65*(1+Предпосылки!$I$6)</f>
        <v>0.78842012951952067</v>
      </c>
      <c r="F72" s="143">
        <f>F65*(1+Предпосылки!$I$6)</f>
        <v>0.8497416951488167</v>
      </c>
      <c r="G72" s="143">
        <f>G65*(1+Предпосылки!$I$6)</f>
        <v>0.86288203064080859</v>
      </c>
      <c r="H72" s="143">
        <f>H65*(1+Предпосылки!$I$6)</f>
        <v>0.80156046501151279</v>
      </c>
      <c r="I72" s="143">
        <f>I65*(1+Предпосылки!$I$6)</f>
        <v>0.76651957036620055</v>
      </c>
      <c r="J72" s="143">
        <f>J65*(1+Предпосылки!$I$6)</f>
        <v>0.70081789290624041</v>
      </c>
      <c r="K72" s="143">
        <f>K65*(1+Предпосылки!$I$6)</f>
        <v>0.67453722192225662</v>
      </c>
      <c r="L72" s="143">
        <f>L65*(1+Предпосылки!$I$6)</f>
        <v>0.67891733375292052</v>
      </c>
      <c r="M72" s="143">
        <f>M65*(1+Предпосылки!$I$6)</f>
        <v>0.68767755741424874</v>
      </c>
    </row>
    <row r="73" spans="1:13">
      <c r="A73" s="87" t="s">
        <v>160</v>
      </c>
      <c r="B73" s="143">
        <f>B66*(1+Предпосылки!$I$6)</f>
        <v>0.63511621544628061</v>
      </c>
      <c r="C73" s="143">
        <f>C66*(1+Предпосылки!$I$6)</f>
        <v>0.6526366627689365</v>
      </c>
      <c r="D73" s="143">
        <f>D66*(1+Предпосылки!$I$6)</f>
        <v>0.72271845205956065</v>
      </c>
      <c r="E73" s="143">
        <f>E66*(1+Предпосылки!$I$6)</f>
        <v>0.81470080050350469</v>
      </c>
      <c r="F73" s="143">
        <f>F66*(1+Предпосылки!$I$6)</f>
        <v>0.88040247796346449</v>
      </c>
      <c r="G73" s="143">
        <f>G66*(1+Предпосылки!$I$6)</f>
        <v>0.93296381993143296</v>
      </c>
      <c r="H73" s="143">
        <f>H66*(1+Предпосылки!$I$6)</f>
        <v>0.88916270162479283</v>
      </c>
      <c r="I73" s="143">
        <f>I66*(1+Предпосылки!$I$6)</f>
        <v>0.84536158331815259</v>
      </c>
      <c r="J73" s="143">
        <f>J66*(1+Предпосылки!$I$6)</f>
        <v>0.70957811656756853</v>
      </c>
      <c r="K73" s="143">
        <f>K66*(1+Предпосылки!$I$6)</f>
        <v>0.6613968864302644</v>
      </c>
      <c r="L73" s="143">
        <f>L66*(1+Предпосылки!$I$6)</f>
        <v>0.63511621544628061</v>
      </c>
      <c r="M73" s="143">
        <f>M66*(1+Предпосылки!$I$6)</f>
        <v>0.6526366627689365</v>
      </c>
    </row>
    <row r="74" spans="1:13">
      <c r="A74" s="87" t="s">
        <v>161</v>
      </c>
      <c r="B74" s="143">
        <f>B67*(1+Предпосылки!$I$6)</f>
        <v>0.38982995292909617</v>
      </c>
      <c r="C74" s="143">
        <f>C67*(1+Предпосылки!$I$6)</f>
        <v>0.39421006475976034</v>
      </c>
      <c r="D74" s="143">
        <f>D67*(1+Предпосылки!$I$6)</f>
        <v>0.46429185405038437</v>
      </c>
      <c r="E74" s="143">
        <f>E67*(1+Предпосылки!$I$6)</f>
        <v>0.60007532080096837</v>
      </c>
      <c r="F74" s="143">
        <f>F67*(1+Предпосылки!$I$6)</f>
        <v>0.67891733375292052</v>
      </c>
      <c r="G74" s="143">
        <f>G67*(1+Предпосылки!$I$6)</f>
        <v>0.75775934670487255</v>
      </c>
      <c r="H74" s="143">
        <f>H67*(1+Предпосылки!$I$6)</f>
        <v>0.8409814714874887</v>
      </c>
      <c r="I74" s="143">
        <f>I67*(1+Предпосылки!$I$6)</f>
        <v>0.82346102416483269</v>
      </c>
      <c r="J74" s="143">
        <f>J67*(1+Предпосылки!$I$6)</f>
        <v>0.54751397883300046</v>
      </c>
      <c r="K74" s="143">
        <f>K67*(1+Предпосылки!$I$6)</f>
        <v>0.50809297235702433</v>
      </c>
      <c r="L74" s="143">
        <f>L67*(1+Предпосылки!$I$6)</f>
        <v>0.50809297235702433</v>
      </c>
      <c r="M74" s="143">
        <f>M67*(1+Предпосылки!$I$6)</f>
        <v>0.62635599178495249</v>
      </c>
    </row>
    <row r="75" spans="1:13">
      <c r="A75" s="87" t="s">
        <v>162</v>
      </c>
      <c r="B75" s="143">
        <f>B68*(1+Предпосылки!$I$6)</f>
        <v>0.63511621544628061</v>
      </c>
      <c r="C75" s="143">
        <f>C68*(1+Предпосылки!$I$6)</f>
        <v>0.74023889938221654</v>
      </c>
      <c r="D75" s="143">
        <f>D68*(1+Предпосылки!$I$6)</f>
        <v>1.0293262802060408</v>
      </c>
      <c r="E75" s="143">
        <f>E68*(1+Предпосылки!$I$6)</f>
        <v>1.2132909770939293</v>
      </c>
      <c r="F75" s="143">
        <f>F68*(1+Предпосылки!$I$6)</f>
        <v>0.86726214247147293</v>
      </c>
      <c r="G75" s="143">
        <f>G68*(1+Предпосылки!$I$6)</f>
        <v>0.69643778107557686</v>
      </c>
      <c r="H75" s="143">
        <f>H68*(1+Предпосылки!$I$6)</f>
        <v>0.52999353151034445</v>
      </c>
      <c r="I75" s="143">
        <f>I68*(1+Предпосылки!$I$6)</f>
        <v>0.45991174221972037</v>
      </c>
      <c r="J75" s="143">
        <f>J68*(1+Предпосылки!$I$6)</f>
        <v>0.4380111830664003</v>
      </c>
      <c r="K75" s="143">
        <f>K68*(1+Предпосылки!$I$6)</f>
        <v>0.42487084757440835</v>
      </c>
      <c r="L75" s="143">
        <f>L68*(1+Предпосылки!$I$6)</f>
        <v>0.4380111830664003</v>
      </c>
      <c r="M75" s="143">
        <f>M68*(1+Предпосылки!$I$6)</f>
        <v>0.45115151855839236</v>
      </c>
    </row>
    <row r="77" spans="1:13">
      <c r="B77" s="4">
        <f t="shared" ref="B77:M77" si="18">YEAR(B78)</f>
        <v>2032</v>
      </c>
      <c r="C77" s="4">
        <f t="shared" si="18"/>
        <v>2032</v>
      </c>
      <c r="D77" s="4">
        <f t="shared" si="18"/>
        <v>2032</v>
      </c>
      <c r="E77" s="4">
        <f t="shared" si="18"/>
        <v>2032</v>
      </c>
      <c r="F77" s="4">
        <f t="shared" si="18"/>
        <v>2032</v>
      </c>
      <c r="G77" s="4">
        <f t="shared" si="18"/>
        <v>2032</v>
      </c>
      <c r="H77" s="4">
        <f t="shared" si="18"/>
        <v>2032</v>
      </c>
      <c r="I77" s="4">
        <f t="shared" si="18"/>
        <v>2032</v>
      </c>
      <c r="J77" s="4">
        <f t="shared" si="18"/>
        <v>2032</v>
      </c>
      <c r="K77" s="4">
        <f t="shared" si="18"/>
        <v>2032</v>
      </c>
      <c r="L77" s="4">
        <f t="shared" si="18"/>
        <v>2032</v>
      </c>
      <c r="M77" s="4">
        <f t="shared" si="18"/>
        <v>2032</v>
      </c>
    </row>
    <row r="78" spans="1:13">
      <c r="B78" s="85">
        <v>48214</v>
      </c>
      <c r="C78" s="85">
        <v>48245</v>
      </c>
      <c r="D78" s="85">
        <v>48274</v>
      </c>
      <c r="E78" s="85">
        <v>48305</v>
      </c>
      <c r="F78" s="85">
        <v>48335</v>
      </c>
      <c r="G78" s="85">
        <v>48366</v>
      </c>
      <c r="H78" s="85">
        <v>48396</v>
      </c>
      <c r="I78" s="85">
        <v>48427</v>
      </c>
      <c r="J78" s="85">
        <v>48458</v>
      </c>
      <c r="K78" s="85">
        <v>48488</v>
      </c>
      <c r="L78" s="85">
        <v>48519</v>
      </c>
      <c r="M78" s="85">
        <v>48549</v>
      </c>
    </row>
    <row r="79" spans="1:13">
      <c r="A79" s="87" t="s">
        <v>159</v>
      </c>
      <c r="B79" s="143">
        <f>B72*(1+Предпосылки!$J$6)</f>
        <v>0.66080557133312479</v>
      </c>
      <c r="C79" s="143">
        <f>C72*(1+Предпосылки!$J$6)</f>
        <v>0.68391066123987743</v>
      </c>
      <c r="D79" s="143">
        <f>D72*(1+Предпосылки!$J$6)</f>
        <v>0.76708898490418687</v>
      </c>
      <c r="E79" s="143">
        <f>E72*(1+Предпосылки!$J$6)</f>
        <v>0.83178323664309428</v>
      </c>
      <c r="F79" s="143">
        <f>F72*(1+Предпосылки!$J$6)</f>
        <v>0.89647748838200159</v>
      </c>
      <c r="G79" s="143">
        <f>G72*(1+Предпосылки!$J$6)</f>
        <v>0.91034054232605299</v>
      </c>
      <c r="H79" s="143">
        <f>H72*(1+Предпосылки!$J$6)</f>
        <v>0.84564629058714591</v>
      </c>
      <c r="I79" s="143">
        <f>I72*(1+Предпосылки!$J$6)</f>
        <v>0.80867814673634153</v>
      </c>
      <c r="J79" s="143">
        <f>J72*(1+Предпосылки!$J$6)</f>
        <v>0.73936287701608361</v>
      </c>
      <c r="K79" s="143">
        <f>K72*(1+Предпосылки!$J$6)</f>
        <v>0.71163676912798068</v>
      </c>
      <c r="L79" s="143">
        <f>L72*(1+Предпосылки!$J$6)</f>
        <v>0.71625778710933108</v>
      </c>
      <c r="M79" s="143">
        <f>M72*(1+Предпосылки!$J$6)</f>
        <v>0.72549982307203242</v>
      </c>
    </row>
    <row r="80" spans="1:13">
      <c r="A80" s="87" t="s">
        <v>160</v>
      </c>
      <c r="B80" s="143">
        <f>B73*(1+Предпосылки!$J$6)</f>
        <v>0.67004760729582602</v>
      </c>
      <c r="C80" s="143">
        <f>C73*(1+Предпосылки!$J$6)</f>
        <v>0.68853167922122793</v>
      </c>
      <c r="D80" s="143">
        <f>D73*(1+Предпосылки!$J$6)</f>
        <v>0.76246796692283647</v>
      </c>
      <c r="E80" s="143">
        <f>E73*(1+Предпосылки!$J$6)</f>
        <v>0.85950934453119743</v>
      </c>
      <c r="F80" s="143">
        <f>F73*(1+Предпосылки!$J$6)</f>
        <v>0.92882461425145502</v>
      </c>
      <c r="G80" s="143">
        <f>G73*(1+Предпосылки!$J$6)</f>
        <v>0.98427683002766175</v>
      </c>
      <c r="H80" s="143">
        <f>H73*(1+Предпосылки!$J$6)</f>
        <v>0.93806665021415636</v>
      </c>
      <c r="I80" s="143">
        <f>I73*(1+Предпосылки!$J$6)</f>
        <v>0.89185647040065097</v>
      </c>
      <c r="J80" s="143">
        <f>J73*(1+Предпосылки!$J$6)</f>
        <v>0.74860491297878473</v>
      </c>
      <c r="K80" s="143">
        <f>K73*(1+Предпосылки!$J$6)</f>
        <v>0.69777371518392894</v>
      </c>
      <c r="L80" s="143">
        <f>L73*(1+Предпосылки!$J$6)</f>
        <v>0.67004760729582602</v>
      </c>
      <c r="M80" s="143">
        <f>M73*(1+Предпосылки!$J$6)</f>
        <v>0.68853167922122793</v>
      </c>
    </row>
    <row r="81" spans="1:13">
      <c r="A81" s="87" t="s">
        <v>161</v>
      </c>
      <c r="B81" s="143">
        <f>B74*(1+Предпосылки!$J$6)</f>
        <v>0.41127060034019641</v>
      </c>
      <c r="C81" s="143">
        <f>C74*(1+Предпосылки!$J$6)</f>
        <v>0.41589161832154714</v>
      </c>
      <c r="D81" s="143">
        <f>D74*(1+Предпосылки!$J$6)</f>
        <v>0.48982790602315546</v>
      </c>
      <c r="E81" s="143">
        <f>E74*(1+Предпосылки!$J$6)</f>
        <v>0.63307946344502164</v>
      </c>
      <c r="F81" s="143">
        <f>F74*(1+Предпосылки!$J$6)</f>
        <v>0.71625778710933108</v>
      </c>
      <c r="G81" s="143">
        <f>G74*(1+Предпосылки!$J$6)</f>
        <v>0.79943611077364052</v>
      </c>
      <c r="H81" s="143">
        <f>H74*(1+Предпосылки!$J$6)</f>
        <v>0.88723545241930057</v>
      </c>
      <c r="I81" s="143">
        <f>I74*(1+Предпосылки!$J$6)</f>
        <v>0.86875138049389844</v>
      </c>
      <c r="J81" s="143">
        <f>J74*(1+Предпосылки!$J$6)</f>
        <v>0.57762724766881546</v>
      </c>
      <c r="K81" s="143">
        <f>K74*(1+Предпосылки!$J$6)</f>
        <v>0.53603808583666068</v>
      </c>
      <c r="L81" s="143">
        <f>L74*(1+Предпосылки!$J$6)</f>
        <v>0.53603808583666068</v>
      </c>
      <c r="M81" s="143">
        <f>M74*(1+Предпосылки!$J$6)</f>
        <v>0.66080557133312479</v>
      </c>
    </row>
    <row r="82" spans="1:13">
      <c r="A82" s="87" t="s">
        <v>162</v>
      </c>
      <c r="B82" s="143">
        <f>B75*(1+Предпосылки!$J$6)</f>
        <v>0.67004760729582602</v>
      </c>
      <c r="C82" s="143">
        <f>C75*(1+Предпосылки!$J$6)</f>
        <v>0.78095203884823838</v>
      </c>
      <c r="D82" s="143">
        <f>D75*(1+Предпосылки!$J$6)</f>
        <v>1.085939225617373</v>
      </c>
      <c r="E82" s="143">
        <f>E75*(1+Предпосылки!$J$6)</f>
        <v>1.2800219808340954</v>
      </c>
      <c r="F82" s="143">
        <f>F75*(1+Предпосылки!$J$6)</f>
        <v>0.91496156030740383</v>
      </c>
      <c r="G82" s="143">
        <f>G75*(1+Предпосылки!$J$6)</f>
        <v>0.73474185903473355</v>
      </c>
      <c r="H82" s="143">
        <f>H75*(1+Предпосылки!$J$6)</f>
        <v>0.55914317574341332</v>
      </c>
      <c r="I82" s="143">
        <f>I75*(1+Предпосылки!$J$6)</f>
        <v>0.48520688804180495</v>
      </c>
      <c r="J82" s="143">
        <f>J75*(1+Предпосылки!$J$6)</f>
        <v>0.46210179813505231</v>
      </c>
      <c r="K82" s="143">
        <f>K75*(1+Предпосылки!$J$6)</f>
        <v>0.44823874419100079</v>
      </c>
      <c r="L82" s="143">
        <f>L75*(1+Предпосылки!$J$6)</f>
        <v>0.46210179813505231</v>
      </c>
      <c r="M82" s="143">
        <f>M75*(1+Предпосылки!$J$6)</f>
        <v>0.47596485207910394</v>
      </c>
    </row>
    <row r="84" spans="1:13">
      <c r="B84" s="4">
        <f t="shared" ref="B84:M84" si="19">YEAR(B85)</f>
        <v>2033</v>
      </c>
      <c r="C84" s="4">
        <f t="shared" si="19"/>
        <v>2033</v>
      </c>
      <c r="D84" s="4">
        <f t="shared" si="19"/>
        <v>2033</v>
      </c>
      <c r="E84" s="4">
        <f t="shared" si="19"/>
        <v>2033</v>
      </c>
      <c r="F84" s="4">
        <f t="shared" si="19"/>
        <v>2033</v>
      </c>
      <c r="G84" s="4">
        <f t="shared" si="19"/>
        <v>2033</v>
      </c>
      <c r="H84" s="4">
        <f t="shared" si="19"/>
        <v>2033</v>
      </c>
      <c r="I84" s="4">
        <f t="shared" si="19"/>
        <v>2033</v>
      </c>
      <c r="J84" s="4">
        <f t="shared" si="19"/>
        <v>2033</v>
      </c>
      <c r="K84" s="4">
        <f t="shared" si="19"/>
        <v>2033</v>
      </c>
      <c r="L84" s="4">
        <f t="shared" si="19"/>
        <v>2033</v>
      </c>
      <c r="M84" s="4">
        <f t="shared" si="19"/>
        <v>2033</v>
      </c>
    </row>
    <row r="85" spans="1:13">
      <c r="B85" s="85">
        <v>48580</v>
      </c>
      <c r="C85" s="85">
        <v>48611</v>
      </c>
      <c r="D85" s="85">
        <v>48639</v>
      </c>
      <c r="E85" s="85">
        <v>48670</v>
      </c>
      <c r="F85" s="85">
        <v>48700</v>
      </c>
      <c r="G85" s="85">
        <v>48731</v>
      </c>
      <c r="H85" s="85">
        <v>48761</v>
      </c>
      <c r="I85" s="85">
        <v>48792</v>
      </c>
      <c r="J85" s="85">
        <v>48823</v>
      </c>
      <c r="K85" s="85">
        <v>48853</v>
      </c>
      <c r="L85" s="85">
        <v>48884</v>
      </c>
      <c r="M85" s="85">
        <v>48914</v>
      </c>
    </row>
    <row r="86" spans="1:13">
      <c r="A86" s="87" t="s">
        <v>159</v>
      </c>
      <c r="B86" s="143">
        <f>B79*(1+Предпосылки!$K$6)</f>
        <v>0.69714987775644666</v>
      </c>
      <c r="C86" s="143">
        <f>C79*(1+Предпосылки!$K$6)</f>
        <v>0.72152574760807064</v>
      </c>
      <c r="D86" s="143">
        <f>D79*(1+Предпосылки!$K$6)</f>
        <v>0.80927887907391705</v>
      </c>
      <c r="E86" s="143">
        <f>E79*(1+Предпосылки!$K$6)</f>
        <v>0.87753131465846446</v>
      </c>
      <c r="F86" s="143">
        <f>F79*(1+Предпосылки!$K$6)</f>
        <v>0.94578375024301164</v>
      </c>
      <c r="G86" s="143">
        <f>G79*(1+Предпосылки!$K$6)</f>
        <v>0.96040927215398586</v>
      </c>
      <c r="H86" s="143">
        <f>H79*(1+Предпосылки!$K$6)</f>
        <v>0.89215683656943889</v>
      </c>
      <c r="I86" s="143">
        <f>I79*(1+Предпосылки!$K$6)</f>
        <v>0.85315544480684025</v>
      </c>
      <c r="J86" s="143">
        <f>J79*(1+Предпосылки!$K$6)</f>
        <v>0.78002783525196817</v>
      </c>
      <c r="K86" s="143">
        <f>K79*(1+Предпосылки!$K$6)</f>
        <v>0.75077679143001963</v>
      </c>
      <c r="L86" s="143">
        <f>L79*(1+Предпосылки!$K$6)</f>
        <v>0.75565196540034429</v>
      </c>
      <c r="M86" s="143">
        <f>M79*(1+Предпосылки!$K$6)</f>
        <v>0.76540231334099418</v>
      </c>
    </row>
    <row r="87" spans="1:13">
      <c r="A87" s="87" t="s">
        <v>160</v>
      </c>
      <c r="B87" s="143">
        <f>B80*(1+Предпосылки!$K$6)</f>
        <v>0.70690022569709643</v>
      </c>
      <c r="C87" s="143">
        <f>C80*(1+Предпосылки!$K$6)</f>
        <v>0.72640092157839542</v>
      </c>
      <c r="D87" s="143">
        <f>D80*(1+Предпосылки!$K$6)</f>
        <v>0.80440370510359238</v>
      </c>
      <c r="E87" s="143">
        <f>E80*(1+Предпосылки!$K$6)</f>
        <v>0.90678235848041322</v>
      </c>
      <c r="F87" s="143">
        <f>F80*(1+Предпосылки!$K$6)</f>
        <v>0.97990996803528496</v>
      </c>
      <c r="G87" s="143">
        <f>G80*(1+Предпосылки!$K$6)</f>
        <v>1.0384120556791832</v>
      </c>
      <c r="H87" s="143">
        <f>H80*(1+Предпосылки!$K$6)</f>
        <v>0.98966031597593496</v>
      </c>
      <c r="I87" s="143">
        <f>I80*(1+Предпосылки!$K$6)</f>
        <v>0.94090857627268676</v>
      </c>
      <c r="J87" s="143">
        <f>J80*(1+Предпосылки!$K$6)</f>
        <v>0.78977818319261783</v>
      </c>
      <c r="K87" s="143">
        <f>K80*(1+Предпосылки!$K$6)</f>
        <v>0.73615126951904497</v>
      </c>
      <c r="L87" s="143">
        <f>L80*(1+Предпосылки!$K$6)</f>
        <v>0.70690022569709643</v>
      </c>
      <c r="M87" s="143">
        <f>M80*(1+Предпосылки!$K$6)</f>
        <v>0.72640092157839542</v>
      </c>
    </row>
    <row r="88" spans="1:13">
      <c r="A88" s="87" t="s">
        <v>161</v>
      </c>
      <c r="B88" s="143">
        <f>B81*(1+Предпосылки!$K$6)</f>
        <v>0.43389048335890718</v>
      </c>
      <c r="C88" s="143">
        <f>C81*(1+Предпосылки!$K$6)</f>
        <v>0.43876565732923223</v>
      </c>
      <c r="D88" s="143">
        <f>D81*(1+Предпосылки!$K$6)</f>
        <v>0.51676844085442897</v>
      </c>
      <c r="E88" s="143">
        <f>E81*(1+Предпосылки!$K$6)</f>
        <v>0.66789883393449778</v>
      </c>
      <c r="F88" s="143">
        <f>F81*(1+Предпосылки!$K$6)</f>
        <v>0.75565196540034429</v>
      </c>
      <c r="G88" s="143">
        <f>G81*(1+Предпосылки!$K$6)</f>
        <v>0.8434050968661907</v>
      </c>
      <c r="H88" s="143">
        <f>H81*(1+Предпосылки!$K$6)</f>
        <v>0.93603340230236209</v>
      </c>
      <c r="I88" s="143">
        <f>I81*(1+Предпосылки!$K$6)</f>
        <v>0.91653270642106277</v>
      </c>
      <c r="J88" s="143">
        <f>J81*(1+Предпосылки!$K$6)</f>
        <v>0.60939674629060026</v>
      </c>
      <c r="K88" s="143">
        <f>K81*(1+Предпосылки!$K$6)</f>
        <v>0.56552018055767694</v>
      </c>
      <c r="L88" s="143">
        <f>L81*(1+Предпосылки!$K$6)</f>
        <v>0.56552018055767694</v>
      </c>
      <c r="M88" s="143">
        <f>M81*(1+Предпосылки!$K$6)</f>
        <v>0.69714987775644666</v>
      </c>
    </row>
    <row r="89" spans="1:13">
      <c r="A89" s="87" t="s">
        <v>162</v>
      </c>
      <c r="B89" s="143">
        <f>B82*(1+Предпосылки!$K$6)</f>
        <v>0.70690022569709643</v>
      </c>
      <c r="C89" s="143">
        <f>C82*(1+Предпосылки!$K$6)</f>
        <v>0.82390440098489148</v>
      </c>
      <c r="D89" s="143">
        <f>D82*(1+Предпосылки!$K$6)</f>
        <v>1.1456658830263284</v>
      </c>
      <c r="E89" s="143">
        <f>E82*(1+Предпосылки!$K$6)</f>
        <v>1.3504231897799706</v>
      </c>
      <c r="F89" s="143">
        <f>F82*(1+Предпосылки!$K$6)</f>
        <v>0.96528444612431097</v>
      </c>
      <c r="G89" s="143">
        <f>G82*(1+Предпосылки!$K$6)</f>
        <v>0.77515266128164384</v>
      </c>
      <c r="H89" s="143">
        <f>H82*(1+Предпосылки!$K$6)</f>
        <v>0.58989605040930104</v>
      </c>
      <c r="I89" s="143">
        <f>I82*(1+Предпосылки!$K$6)</f>
        <v>0.51189326688410419</v>
      </c>
      <c r="J89" s="143">
        <f>J82*(1+Предпосылки!$K$6)</f>
        <v>0.48751739703248015</v>
      </c>
      <c r="K89" s="143">
        <f>K82*(1+Предпосылки!$K$6)</f>
        <v>0.47289187512150582</v>
      </c>
      <c r="L89" s="143">
        <f>L82*(1+Предпосылки!$K$6)</f>
        <v>0.48751739703248015</v>
      </c>
      <c r="M89" s="143">
        <f>M82*(1+Предпосылки!$K$6)</f>
        <v>0.50214291894345464</v>
      </c>
    </row>
    <row r="91" spans="1:13">
      <c r="B91" s="4">
        <f t="shared" ref="B91:M91" si="20">YEAR(B92)</f>
        <v>2034</v>
      </c>
      <c r="C91" s="4">
        <f t="shared" si="20"/>
        <v>2034</v>
      </c>
      <c r="D91" s="4">
        <f t="shared" si="20"/>
        <v>2034</v>
      </c>
      <c r="E91" s="4">
        <f t="shared" si="20"/>
        <v>2034</v>
      </c>
      <c r="F91" s="4">
        <f t="shared" si="20"/>
        <v>2034</v>
      </c>
      <c r="G91" s="4">
        <f t="shared" si="20"/>
        <v>2034</v>
      </c>
      <c r="H91" s="4">
        <f t="shared" si="20"/>
        <v>2034</v>
      </c>
      <c r="I91" s="4">
        <f t="shared" si="20"/>
        <v>2034</v>
      </c>
      <c r="J91" s="4">
        <f t="shared" si="20"/>
        <v>2034</v>
      </c>
      <c r="K91" s="4">
        <f t="shared" si="20"/>
        <v>2034</v>
      </c>
      <c r="L91" s="4">
        <f t="shared" si="20"/>
        <v>2034</v>
      </c>
      <c r="M91" s="4">
        <f t="shared" si="20"/>
        <v>2034</v>
      </c>
    </row>
    <row r="92" spans="1:13">
      <c r="B92" s="85">
        <v>48945</v>
      </c>
      <c r="C92" s="85">
        <v>48976</v>
      </c>
      <c r="D92" s="85">
        <v>49004</v>
      </c>
      <c r="E92" s="85">
        <v>49035</v>
      </c>
      <c r="F92" s="85">
        <v>49065</v>
      </c>
      <c r="G92" s="85">
        <v>49096</v>
      </c>
      <c r="H92" s="85">
        <v>49126</v>
      </c>
      <c r="I92" s="85">
        <v>49157</v>
      </c>
      <c r="J92" s="85">
        <v>49188</v>
      </c>
      <c r="K92" s="85">
        <v>49218</v>
      </c>
      <c r="L92" s="85">
        <v>49249</v>
      </c>
      <c r="M92" s="85">
        <v>49279</v>
      </c>
    </row>
    <row r="93" spans="1:13">
      <c r="A93" s="87" t="s">
        <v>159</v>
      </c>
      <c r="B93" s="143">
        <f>B86*(1+Предпосылки!$K$6)</f>
        <v>0.7354931210330512</v>
      </c>
      <c r="C93" s="143">
        <f>C86*(1+Предпосылки!$K$6)</f>
        <v>0.76120966372651444</v>
      </c>
      <c r="D93" s="143">
        <f>D86*(1+Предпосылки!$K$6)</f>
        <v>0.85378921742298242</v>
      </c>
      <c r="E93" s="143">
        <f>E86*(1+Предпосылки!$K$6)</f>
        <v>0.92579553696467998</v>
      </c>
      <c r="F93" s="143">
        <f>F86*(1+Предпосылки!$K$6)</f>
        <v>0.9978018565063772</v>
      </c>
      <c r="G93" s="143">
        <f>G86*(1+Предпосылки!$K$6)</f>
        <v>1.013231782122455</v>
      </c>
      <c r="H93" s="143">
        <f>H86*(1+Предпосылки!$K$6)</f>
        <v>0.94122546258075801</v>
      </c>
      <c r="I93" s="143">
        <f>I86*(1+Предпосылки!$K$6)</f>
        <v>0.9000789942712164</v>
      </c>
      <c r="J93" s="143">
        <f>J86*(1+Предпосылки!$K$6)</f>
        <v>0.82292936619082635</v>
      </c>
      <c r="K93" s="143">
        <f>K86*(1+Предпосылки!$K$6)</f>
        <v>0.79206951495867062</v>
      </c>
      <c r="L93" s="143">
        <f>L86*(1+Предпосылки!$K$6)</f>
        <v>0.79721282349736322</v>
      </c>
      <c r="M93" s="143">
        <f>M86*(1+Предпосылки!$K$6)</f>
        <v>0.80749944057474876</v>
      </c>
    </row>
    <row r="94" spans="1:13">
      <c r="A94" s="87" t="s">
        <v>160</v>
      </c>
      <c r="B94" s="143">
        <f>B87*(1+Предпосылки!$K$6)</f>
        <v>0.74577973811043674</v>
      </c>
      <c r="C94" s="143">
        <f>C87*(1+Предпосылки!$K$6)</f>
        <v>0.76635297226520716</v>
      </c>
      <c r="D94" s="143">
        <f>D87*(1+Предпосылки!$K$6)</f>
        <v>0.84864590888428992</v>
      </c>
      <c r="E94" s="143">
        <f>E87*(1+Предпосылки!$K$6)</f>
        <v>0.95665538819683593</v>
      </c>
      <c r="F94" s="143">
        <f>F87*(1+Предпосылки!$K$6)</f>
        <v>1.0338050162772257</v>
      </c>
      <c r="G94" s="143">
        <f>G87*(1+Предпосылки!$K$6)</f>
        <v>1.0955247187415382</v>
      </c>
      <c r="H94" s="143">
        <f>H87*(1+Предпосылки!$K$6)</f>
        <v>1.0440916333546113</v>
      </c>
      <c r="I94" s="143">
        <f>I87*(1+Предпосылки!$K$6)</f>
        <v>0.99265854796768449</v>
      </c>
      <c r="J94" s="143">
        <f>J87*(1+Предпосылки!$K$6)</f>
        <v>0.83321598326821178</v>
      </c>
      <c r="K94" s="143">
        <f>K87*(1+Предпосылки!$K$6)</f>
        <v>0.77663958934259236</v>
      </c>
      <c r="L94" s="143">
        <f>L87*(1+Предпосылки!$K$6)</f>
        <v>0.74577973811043674</v>
      </c>
      <c r="M94" s="143">
        <f>M87*(1+Предпосылки!$K$6)</f>
        <v>0.76635297226520716</v>
      </c>
    </row>
    <row r="95" spans="1:13">
      <c r="A95" s="87" t="s">
        <v>161</v>
      </c>
      <c r="B95" s="143">
        <f>B88*(1+Предпосылки!$K$6)</f>
        <v>0.45775445994364705</v>
      </c>
      <c r="C95" s="143">
        <f>C88*(1+Предпосылки!$K$6)</f>
        <v>0.46289776848233999</v>
      </c>
      <c r="D95" s="143">
        <f>D88*(1+Предпосылки!$K$6)</f>
        <v>0.54519070510142253</v>
      </c>
      <c r="E95" s="143">
        <f>E88*(1+Предпосылки!$K$6)</f>
        <v>0.70463326980089513</v>
      </c>
      <c r="F95" s="143">
        <f>F88*(1+Предпосылки!$K$6)</f>
        <v>0.79721282349736322</v>
      </c>
      <c r="G95" s="143">
        <f>G88*(1+Предпосылки!$K$6)</f>
        <v>0.88979237719383109</v>
      </c>
      <c r="H95" s="143">
        <f>H88*(1+Предпосылки!$K$6)</f>
        <v>0.987515239428992</v>
      </c>
      <c r="I95" s="143">
        <f>I88*(1+Предпосылки!$K$6)</f>
        <v>0.96694200527422114</v>
      </c>
      <c r="J95" s="143">
        <f>J88*(1+Предпосылки!$K$6)</f>
        <v>0.64291356733658322</v>
      </c>
      <c r="K95" s="143">
        <f>K88*(1+Предпосылки!$K$6)</f>
        <v>0.59662379048834913</v>
      </c>
      <c r="L95" s="143">
        <f>L88*(1+Предпосылки!$K$6)</f>
        <v>0.59662379048834913</v>
      </c>
      <c r="M95" s="143">
        <f>M88*(1+Предпосылки!$K$6)</f>
        <v>0.7354931210330512</v>
      </c>
    </row>
    <row r="96" spans="1:13">
      <c r="A96" s="87" t="s">
        <v>162</v>
      </c>
      <c r="B96" s="143">
        <f>B89*(1+Предпосылки!$K$6)</f>
        <v>0.74577973811043674</v>
      </c>
      <c r="C96" s="143">
        <f>C89*(1+Предпосылки!$K$6)</f>
        <v>0.86921914303906045</v>
      </c>
      <c r="D96" s="143">
        <f>D89*(1+Предпосылки!$K$6)</f>
        <v>1.2086775065927764</v>
      </c>
      <c r="E96" s="143">
        <f>E89*(1+Предпосылки!$K$6)</f>
        <v>1.4246964652178689</v>
      </c>
      <c r="F96" s="143">
        <f>F89*(1+Предпосылки!$K$6)</f>
        <v>1.018375090661148</v>
      </c>
      <c r="G96" s="143">
        <f>G89*(1+Предпосылки!$K$6)</f>
        <v>0.81778605765213419</v>
      </c>
      <c r="H96" s="143">
        <f>H89*(1+Предпосылки!$K$6)</f>
        <v>0.62234033318181259</v>
      </c>
      <c r="I96" s="143">
        <f>I89*(1+Предпосылки!$K$6)</f>
        <v>0.54004739656272993</v>
      </c>
      <c r="J96" s="143">
        <f>J89*(1+Предпосылки!$K$6)</f>
        <v>0.51433085386926658</v>
      </c>
      <c r="K96" s="143">
        <f>K89*(1+Предпосылки!$K$6)</f>
        <v>0.4989009282531886</v>
      </c>
      <c r="L96" s="143">
        <f>L89*(1+Предпосылки!$K$6)</f>
        <v>0.51433085386926658</v>
      </c>
      <c r="M96" s="143">
        <f>M89*(1+Предпосылки!$K$6)</f>
        <v>0.52976077948534461</v>
      </c>
    </row>
    <row r="98" spans="1:13">
      <c r="B98" s="4">
        <f t="shared" ref="B98:M98" si="21">YEAR(B99)</f>
        <v>2035</v>
      </c>
      <c r="C98" s="4">
        <f t="shared" si="21"/>
        <v>2035</v>
      </c>
      <c r="D98" s="4">
        <f t="shared" si="21"/>
        <v>2035</v>
      </c>
      <c r="E98" s="4">
        <f t="shared" si="21"/>
        <v>2035</v>
      </c>
      <c r="F98" s="4">
        <f t="shared" si="21"/>
        <v>2035</v>
      </c>
      <c r="G98" s="4">
        <f t="shared" si="21"/>
        <v>2035</v>
      </c>
      <c r="H98" s="4">
        <f t="shared" si="21"/>
        <v>2035</v>
      </c>
      <c r="I98" s="4">
        <f t="shared" si="21"/>
        <v>2035</v>
      </c>
      <c r="J98" s="4">
        <f t="shared" si="21"/>
        <v>2035</v>
      </c>
      <c r="K98" s="4">
        <f t="shared" si="21"/>
        <v>2035</v>
      </c>
      <c r="L98" s="4">
        <f t="shared" si="21"/>
        <v>2035</v>
      </c>
      <c r="M98" s="4">
        <f t="shared" si="21"/>
        <v>2035</v>
      </c>
    </row>
    <row r="99" spans="1:13">
      <c r="B99" s="85">
        <v>49310</v>
      </c>
      <c r="C99" s="85">
        <v>49341</v>
      </c>
      <c r="D99" s="85">
        <v>49369</v>
      </c>
      <c r="E99" s="85">
        <v>49400</v>
      </c>
      <c r="F99" s="85">
        <v>49430</v>
      </c>
      <c r="G99" s="85">
        <v>49461</v>
      </c>
      <c r="H99" s="85">
        <v>49491</v>
      </c>
      <c r="I99" s="85">
        <v>49522</v>
      </c>
      <c r="J99" s="85">
        <v>49553</v>
      </c>
      <c r="K99" s="85">
        <v>49583</v>
      </c>
      <c r="L99" s="85">
        <v>49614</v>
      </c>
      <c r="M99" s="85">
        <v>49644</v>
      </c>
    </row>
    <row r="100" spans="1:13">
      <c r="A100" s="87" t="s">
        <v>159</v>
      </c>
      <c r="B100" s="143">
        <f>B93*(1+Предпосылки!$K$6)</f>
        <v>0.77594524268986897</v>
      </c>
      <c r="C100" s="143">
        <f>C93*(1+Предпосылки!$K$6)</f>
        <v>0.80307619523147267</v>
      </c>
      <c r="D100" s="143">
        <f>D93*(1+Предпосылки!$K$6)</f>
        <v>0.90074762438124645</v>
      </c>
      <c r="E100" s="143">
        <f>E93*(1+Предпосылки!$K$6)</f>
        <v>0.97671429149773736</v>
      </c>
      <c r="F100" s="143">
        <f>F93*(1+Предпосылки!$K$6)</f>
        <v>1.0526809586142278</v>
      </c>
      <c r="G100" s="143">
        <f>G93*(1+Предпосылки!$K$6)</f>
        <v>1.0689595301391899</v>
      </c>
      <c r="H100" s="143">
        <f>H93*(1+Предпосылки!$K$6)</f>
        <v>0.99299286302269962</v>
      </c>
      <c r="I100" s="143">
        <f>I93*(1+Предпосылки!$K$6)</f>
        <v>0.94958333895613323</v>
      </c>
      <c r="J100" s="143">
        <f>J93*(1+Предпосылки!$K$6)</f>
        <v>0.86819048133132171</v>
      </c>
      <c r="K100" s="143">
        <f>K93*(1+Предпосылки!$K$6)</f>
        <v>0.83563333828139741</v>
      </c>
      <c r="L100" s="143">
        <f>L93*(1+Предпосылки!$K$6)</f>
        <v>0.84105952878971812</v>
      </c>
      <c r="M100" s="143">
        <f>M93*(1+Предпосылки!$K$6)</f>
        <v>0.85191190980635989</v>
      </c>
    </row>
    <row r="101" spans="1:13">
      <c r="A101" s="87" t="s">
        <v>160</v>
      </c>
      <c r="B101" s="143">
        <f>B94*(1+Предпосылки!$K$6)</f>
        <v>0.78679762370651074</v>
      </c>
      <c r="C101" s="143">
        <f>C94*(1+Предпосылки!$K$6)</f>
        <v>0.80850238573979349</v>
      </c>
      <c r="D101" s="143">
        <f>D94*(1+Предпосылки!$K$6)</f>
        <v>0.89532143387292584</v>
      </c>
      <c r="E101" s="143">
        <f>E94*(1+Предпосылки!$K$6)</f>
        <v>1.0092714345476619</v>
      </c>
      <c r="F101" s="143">
        <f>F94*(1+Предпосылки!$K$6)</f>
        <v>1.090664292172473</v>
      </c>
      <c r="G101" s="143">
        <f>G94*(1+Предпосылки!$K$6)</f>
        <v>1.1557785782723227</v>
      </c>
      <c r="H101" s="143">
        <f>H94*(1+Предпосылки!$K$6)</f>
        <v>1.1015166731891148</v>
      </c>
      <c r="I101" s="143">
        <f>I94*(1+Предпосылки!$K$6)</f>
        <v>1.047254768105907</v>
      </c>
      <c r="J101" s="143">
        <f>J94*(1+Предпосылки!$K$6)</f>
        <v>0.87904286234796336</v>
      </c>
      <c r="K101" s="143">
        <f>K94*(1+Предпосылки!$K$6)</f>
        <v>0.81935476675643493</v>
      </c>
      <c r="L101" s="143">
        <f>L94*(1+Предпосылки!$K$6)</f>
        <v>0.78679762370651074</v>
      </c>
      <c r="M101" s="143">
        <f>M94*(1+Предпосылки!$K$6)</f>
        <v>0.80850238573979349</v>
      </c>
    </row>
    <row r="102" spans="1:13">
      <c r="A102" s="87" t="s">
        <v>161</v>
      </c>
      <c r="B102" s="143">
        <f>B95*(1+Предпосылки!$K$6)</f>
        <v>0.48293095524054763</v>
      </c>
      <c r="C102" s="143">
        <f>C95*(1+Предпосылки!$K$6)</f>
        <v>0.48835714574886868</v>
      </c>
      <c r="D102" s="143">
        <f>D95*(1+Предпосылки!$K$6)</f>
        <v>0.5751761938820007</v>
      </c>
      <c r="E102" s="143">
        <f>E95*(1+Предпосылки!$K$6)</f>
        <v>0.74338809963994434</v>
      </c>
      <c r="F102" s="143">
        <f>F95*(1+Предпосылки!$K$6)</f>
        <v>0.84105952878971812</v>
      </c>
      <c r="G102" s="143">
        <f>G95*(1+Предпосылки!$K$6)</f>
        <v>0.93873095793949179</v>
      </c>
      <c r="H102" s="143">
        <f>H95*(1+Предпосылки!$K$6)</f>
        <v>1.0418285775975864</v>
      </c>
      <c r="I102" s="143">
        <f>I95*(1+Предпосылки!$K$6)</f>
        <v>1.0201238155643033</v>
      </c>
      <c r="J102" s="143">
        <f>J95*(1+Предпосылки!$K$6)</f>
        <v>0.67827381354009531</v>
      </c>
      <c r="K102" s="143">
        <f>K95*(1+Предпосылки!$K$6)</f>
        <v>0.6294380989652083</v>
      </c>
      <c r="L102" s="143">
        <f>L95*(1+Предпосылки!$K$6)</f>
        <v>0.6294380989652083</v>
      </c>
      <c r="M102" s="143">
        <f>M95*(1+Предпосылки!$K$6)</f>
        <v>0.77594524268986897</v>
      </c>
    </row>
    <row r="103" spans="1:13">
      <c r="A103" s="87" t="s">
        <v>162</v>
      </c>
      <c r="B103" s="143">
        <f>B96*(1+Предпосылки!$K$6)</f>
        <v>0.78679762370651074</v>
      </c>
      <c r="C103" s="143">
        <f>C96*(1+Предпосылки!$K$6)</f>
        <v>0.91702619590620871</v>
      </c>
      <c r="D103" s="143">
        <f>D96*(1+Предпосылки!$K$6)</f>
        <v>1.2751547694553791</v>
      </c>
      <c r="E103" s="143">
        <f>E96*(1+Предпосылки!$K$6)</f>
        <v>1.5030547708048516</v>
      </c>
      <c r="F103" s="143">
        <f>F96*(1+Предпосылки!$K$6)</f>
        <v>1.0743857206475109</v>
      </c>
      <c r="G103" s="143">
        <f>G96*(1+Предпосылки!$K$6)</f>
        <v>0.86276429082300155</v>
      </c>
      <c r="H103" s="143">
        <f>H96*(1+Предпосылки!$K$6)</f>
        <v>0.65656905150681222</v>
      </c>
      <c r="I103" s="143">
        <f>I96*(1+Предпосылки!$K$6)</f>
        <v>0.56975000337368009</v>
      </c>
      <c r="J103" s="143">
        <f>J96*(1+Предпосылки!$K$6)</f>
        <v>0.54261905083207618</v>
      </c>
      <c r="K103" s="143">
        <f>K96*(1+Предпосылки!$K$6)</f>
        <v>0.52634047930711392</v>
      </c>
      <c r="L103" s="143">
        <f>L96*(1+Предпосылки!$K$6)</f>
        <v>0.54261905083207618</v>
      </c>
      <c r="M103" s="143">
        <f>M96*(1+Предпосылки!$K$6)</f>
        <v>0.55889762235703855</v>
      </c>
    </row>
    <row r="105" spans="1:13">
      <c r="B105" s="4">
        <f t="shared" ref="B105:M105" si="22">YEAR(B106)</f>
        <v>2036</v>
      </c>
      <c r="C105" s="4">
        <f t="shared" si="22"/>
        <v>2036</v>
      </c>
      <c r="D105" s="4">
        <f t="shared" si="22"/>
        <v>2036</v>
      </c>
      <c r="E105" s="4">
        <f t="shared" si="22"/>
        <v>2036</v>
      </c>
      <c r="F105" s="4">
        <f t="shared" si="22"/>
        <v>2036</v>
      </c>
      <c r="G105" s="4">
        <f t="shared" si="22"/>
        <v>2036</v>
      </c>
      <c r="H105" s="4">
        <f t="shared" si="22"/>
        <v>2036</v>
      </c>
      <c r="I105" s="4">
        <f t="shared" si="22"/>
        <v>2036</v>
      </c>
      <c r="J105" s="4">
        <f t="shared" si="22"/>
        <v>2036</v>
      </c>
      <c r="K105" s="4">
        <f t="shared" si="22"/>
        <v>2036</v>
      </c>
      <c r="L105" s="4">
        <f t="shared" si="22"/>
        <v>2036</v>
      </c>
      <c r="M105" s="4">
        <f t="shared" si="22"/>
        <v>2036</v>
      </c>
    </row>
    <row r="106" spans="1:13">
      <c r="B106" s="85">
        <v>49675</v>
      </c>
      <c r="C106" s="85">
        <v>49706</v>
      </c>
      <c r="D106" s="85">
        <v>49735</v>
      </c>
      <c r="E106" s="85">
        <v>49766</v>
      </c>
      <c r="F106" s="85">
        <v>49796</v>
      </c>
      <c r="G106" s="85">
        <v>49827</v>
      </c>
      <c r="H106" s="85">
        <v>49857</v>
      </c>
      <c r="I106" s="85">
        <v>49888</v>
      </c>
      <c r="J106" s="85">
        <v>49919</v>
      </c>
      <c r="K106" s="85">
        <v>49949</v>
      </c>
      <c r="L106" s="85">
        <v>49980</v>
      </c>
      <c r="M106" s="85">
        <v>50010</v>
      </c>
    </row>
    <row r="107" spans="1:13">
      <c r="A107" s="87" t="s">
        <v>159</v>
      </c>
      <c r="B107" s="143">
        <f>B100*(1+Предпосылки!$K$6)</f>
        <v>0.81862223103781173</v>
      </c>
      <c r="C107" s="143">
        <f>C100*(1+Предпосылки!$K$6)</f>
        <v>0.84724538596920362</v>
      </c>
      <c r="D107" s="143">
        <f>D100*(1+Предпосылки!$K$6)</f>
        <v>0.95028874372221495</v>
      </c>
      <c r="E107" s="143">
        <f>E100*(1+Предпосылки!$K$6)</f>
        <v>1.0304335775301128</v>
      </c>
      <c r="F107" s="143">
        <f>F100*(1+Предпосылки!$K$6)</f>
        <v>1.1105784113380104</v>
      </c>
      <c r="G107" s="143">
        <f>G100*(1+Предпосылки!$K$6)</f>
        <v>1.1277523042968451</v>
      </c>
      <c r="H107" s="143">
        <f>H100*(1+Предпосылки!$K$6)</f>
        <v>1.047607470488948</v>
      </c>
      <c r="I107" s="143">
        <f>I100*(1+Предпосылки!$K$6)</f>
        <v>1.0018104225987206</v>
      </c>
      <c r="J107" s="143">
        <f>J100*(1+Предпосылки!$K$6)</f>
        <v>0.91594095780454432</v>
      </c>
      <c r="K107" s="143">
        <f>K100*(1+Предпосылки!$K$6)</f>
        <v>0.88159317188687425</v>
      </c>
      <c r="L107" s="143">
        <f>L100*(1+Предпосылки!$K$6)</f>
        <v>0.88731780287315254</v>
      </c>
      <c r="M107" s="143">
        <f>M100*(1+Предпосылки!$K$6)</f>
        <v>0.89876706484570967</v>
      </c>
    </row>
    <row r="108" spans="1:13">
      <c r="A108" s="87" t="s">
        <v>160</v>
      </c>
      <c r="B108" s="143">
        <f>B101*(1+Предпосылки!$K$6)</f>
        <v>0.83007149301036875</v>
      </c>
      <c r="C108" s="143">
        <f>C101*(1+Предпосылки!$K$6)</f>
        <v>0.85297001695548214</v>
      </c>
      <c r="D108" s="143">
        <f>D101*(1+Предпосылки!$K$6)</f>
        <v>0.94456411273593666</v>
      </c>
      <c r="E108" s="143">
        <f>E101*(1+Предпосылки!$K$6)</f>
        <v>1.0647813634477832</v>
      </c>
      <c r="F108" s="143">
        <f>F101*(1+Предпосылки!$K$6)</f>
        <v>1.150650828241959</v>
      </c>
      <c r="G108" s="143">
        <f>G101*(1+Предпосылки!$K$6)</f>
        <v>1.2193464000773004</v>
      </c>
      <c r="H108" s="143">
        <f>H101*(1+Предпосылки!$K$6)</f>
        <v>1.162100090214516</v>
      </c>
      <c r="I108" s="143">
        <f>I101*(1+Предпосылки!$K$6)</f>
        <v>1.1048537803517318</v>
      </c>
      <c r="J108" s="143">
        <f>J101*(1+Предпосылки!$K$6)</f>
        <v>0.92739021977710134</v>
      </c>
      <c r="K108" s="143">
        <f>K101*(1+Предпосылки!$K$6)</f>
        <v>0.86441927892803883</v>
      </c>
      <c r="L108" s="143">
        <f>L101*(1+Предпосылки!$K$6)</f>
        <v>0.83007149301036875</v>
      </c>
      <c r="M108" s="143">
        <f>M101*(1+Предпосылки!$K$6)</f>
        <v>0.85297001695548214</v>
      </c>
    </row>
    <row r="109" spans="1:13">
      <c r="A109" s="87" t="s">
        <v>161</v>
      </c>
      <c r="B109" s="143">
        <f>B102*(1+Предпосылки!$K$6)</f>
        <v>0.50949215777877777</v>
      </c>
      <c r="C109" s="143">
        <f>C102*(1+Предпосылки!$K$6)</f>
        <v>0.51521678876505639</v>
      </c>
      <c r="D109" s="143">
        <f>D102*(1+Предпосылки!$K$6)</f>
        <v>0.60681088454551069</v>
      </c>
      <c r="E109" s="143">
        <f>E102*(1+Предпосылки!$K$6)</f>
        <v>0.78427444512014122</v>
      </c>
      <c r="F109" s="143">
        <f>F102*(1+Предпосылки!$K$6)</f>
        <v>0.88731780287315254</v>
      </c>
      <c r="G109" s="143">
        <f>G102*(1+Предпосылки!$K$6)</f>
        <v>0.99036116062616375</v>
      </c>
      <c r="H109" s="143">
        <f>H102*(1+Предпосылки!$K$6)</f>
        <v>1.0991291493654536</v>
      </c>
      <c r="I109" s="143">
        <f>I102*(1+Предпосылки!$K$6)</f>
        <v>1.07623062542034</v>
      </c>
      <c r="J109" s="143">
        <f>J102*(1+Предпосылки!$K$6)</f>
        <v>0.71557887328480052</v>
      </c>
      <c r="K109" s="143">
        <f>K102*(1+Предпосылки!$K$6)</f>
        <v>0.66405719440829469</v>
      </c>
      <c r="L109" s="143">
        <f>L102*(1+Предпосылки!$K$6)</f>
        <v>0.66405719440829469</v>
      </c>
      <c r="M109" s="143">
        <f>M102*(1+Предпосылки!$K$6)</f>
        <v>0.81862223103781173</v>
      </c>
    </row>
    <row r="110" spans="1:13">
      <c r="A110" s="87" t="s">
        <v>162</v>
      </c>
      <c r="B110" s="143">
        <f>B103*(1+Предпосылки!$K$6)</f>
        <v>0.83007149301036875</v>
      </c>
      <c r="C110" s="143">
        <f>C103*(1+Предпосылки!$K$6)</f>
        <v>0.96746263668105015</v>
      </c>
      <c r="D110" s="143">
        <f>D103*(1+Предпосылки!$K$6)</f>
        <v>1.3452882817754248</v>
      </c>
      <c r="E110" s="143">
        <f>E103*(1+Предпосылки!$K$6)</f>
        <v>1.5857227831991183</v>
      </c>
      <c r="F110" s="143">
        <f>F103*(1+Предпосылки!$K$6)</f>
        <v>1.133476935283124</v>
      </c>
      <c r="G110" s="143">
        <f>G103*(1+Предпосылки!$K$6)</f>
        <v>0.91021632681826659</v>
      </c>
      <c r="H110" s="143">
        <f>H103*(1+Предпосылки!$K$6)</f>
        <v>0.69268034933968681</v>
      </c>
      <c r="I110" s="143">
        <f>I103*(1+Предпосылки!$K$6)</f>
        <v>0.60108625355923251</v>
      </c>
      <c r="J110" s="143">
        <f>J103*(1+Предпосылки!$K$6)</f>
        <v>0.57246309862784028</v>
      </c>
      <c r="K110" s="143">
        <f>K103*(1+Предпосылки!$K$6)</f>
        <v>0.55528920566900519</v>
      </c>
      <c r="L110" s="143">
        <f>L103*(1+Предпосылки!$K$6)</f>
        <v>0.57246309862784028</v>
      </c>
      <c r="M110" s="143">
        <f>M103*(1+Предпосылки!$K$6)</f>
        <v>0.5896369915866756</v>
      </c>
    </row>
    <row r="112" spans="1:13">
      <c r="B112" s="4">
        <f t="shared" ref="B112:M112" si="23">YEAR(B113)</f>
        <v>2037</v>
      </c>
      <c r="C112" s="4">
        <f t="shared" si="23"/>
        <v>2037</v>
      </c>
      <c r="D112" s="4">
        <f t="shared" si="23"/>
        <v>2037</v>
      </c>
      <c r="E112" s="4">
        <f t="shared" si="23"/>
        <v>2037</v>
      </c>
      <c r="F112" s="4">
        <f t="shared" si="23"/>
        <v>2037</v>
      </c>
      <c r="G112" s="4">
        <f t="shared" si="23"/>
        <v>2037</v>
      </c>
      <c r="H112" s="4">
        <f t="shared" si="23"/>
        <v>2037</v>
      </c>
      <c r="I112" s="4">
        <f t="shared" si="23"/>
        <v>2037</v>
      </c>
      <c r="J112" s="4">
        <f t="shared" si="23"/>
        <v>2037</v>
      </c>
      <c r="K112" s="4">
        <f t="shared" si="23"/>
        <v>2037</v>
      </c>
      <c r="L112" s="4">
        <f t="shared" si="23"/>
        <v>2037</v>
      </c>
      <c r="M112" s="4">
        <f t="shared" si="23"/>
        <v>2037</v>
      </c>
    </row>
    <row r="113" spans="1:13">
      <c r="B113" s="85">
        <v>50041</v>
      </c>
      <c r="C113" s="85">
        <v>50072</v>
      </c>
      <c r="D113" s="85">
        <v>50100</v>
      </c>
      <c r="E113" s="85">
        <v>50131</v>
      </c>
      <c r="F113" s="85">
        <v>50161</v>
      </c>
      <c r="G113" s="85">
        <v>50192</v>
      </c>
      <c r="H113" s="85">
        <v>50222</v>
      </c>
      <c r="I113" s="85">
        <v>50253</v>
      </c>
      <c r="J113" s="85">
        <v>50284</v>
      </c>
      <c r="K113" s="85">
        <v>50314</v>
      </c>
      <c r="L113" s="85">
        <v>50345</v>
      </c>
      <c r="M113" s="85">
        <v>50375</v>
      </c>
    </row>
    <row r="114" spans="1:13">
      <c r="A114" s="87" t="s">
        <v>159</v>
      </c>
      <c r="B114" s="143">
        <f>B107*(1+Предпосылки!$K$6)</f>
        <v>0.86364645374489135</v>
      </c>
      <c r="C114" s="143">
        <f>C107*(1+Предпосылки!$K$6)</f>
        <v>0.89384388219750976</v>
      </c>
      <c r="D114" s="143">
        <f>D107*(1+Предпосылки!$K$6)</f>
        <v>1.0025546246269368</v>
      </c>
      <c r="E114" s="143">
        <f>E107*(1+Предпосылки!$K$6)</f>
        <v>1.0871074242942689</v>
      </c>
      <c r="F114" s="143">
        <f>F107*(1+Предпосылки!$K$6)</f>
        <v>1.171660223961601</v>
      </c>
      <c r="G114" s="143">
        <f>G107*(1+Предпосылки!$K$6)</f>
        <v>1.1897786810331716</v>
      </c>
      <c r="H114" s="143">
        <f>H107*(1+Предпосылки!$K$6)</f>
        <v>1.10522588136584</v>
      </c>
      <c r="I114" s="143">
        <f>I107*(1+Предпосылки!$K$6)</f>
        <v>1.0569099958416501</v>
      </c>
      <c r="J114" s="143">
        <f>J107*(1+Предпосылки!$K$6)</f>
        <v>0.96631771048379422</v>
      </c>
      <c r="K114" s="143">
        <f>K107*(1+Предпосылки!$K$6)</f>
        <v>0.93008079634065233</v>
      </c>
      <c r="L114" s="143">
        <f>L107*(1+Предпосылки!$K$6)</f>
        <v>0.93612028203117592</v>
      </c>
      <c r="M114" s="143">
        <f>M107*(1+Предпосылки!$K$6)</f>
        <v>0.94819925341222366</v>
      </c>
    </row>
    <row r="115" spans="1:13">
      <c r="A115" s="87" t="s">
        <v>160</v>
      </c>
      <c r="B115" s="143">
        <f>B108*(1+Предпосылки!$K$6)</f>
        <v>0.87572542512593898</v>
      </c>
      <c r="C115" s="143">
        <f>C108*(1+Предпосылки!$K$6)</f>
        <v>0.89988336788803358</v>
      </c>
      <c r="D115" s="143">
        <f>D108*(1+Предпосылки!$K$6)</f>
        <v>0.99651513893641308</v>
      </c>
      <c r="E115" s="143">
        <f>E108*(1+Предпосылки!$K$6)</f>
        <v>1.1233443384374111</v>
      </c>
      <c r="F115" s="143">
        <f>F108*(1+Предпосылки!$K$6)</f>
        <v>1.2139366237952667</v>
      </c>
      <c r="G115" s="143">
        <f>G108*(1+Предпосылки!$K$6)</f>
        <v>1.2864104520815518</v>
      </c>
      <c r="H115" s="143">
        <f>H108*(1+Предпосылки!$K$6)</f>
        <v>1.2260155951763143</v>
      </c>
      <c r="I115" s="143">
        <f>I108*(1+Предпосылки!$K$6)</f>
        <v>1.165620738271077</v>
      </c>
      <c r="J115" s="143">
        <f>J108*(1+Предпосылки!$K$6)</f>
        <v>0.97839668186484186</v>
      </c>
      <c r="K115" s="143">
        <f>K108*(1+Предпосылки!$K$6)</f>
        <v>0.91196233926908088</v>
      </c>
      <c r="L115" s="143">
        <f>L108*(1+Предпосылки!$K$6)</f>
        <v>0.87572542512593898</v>
      </c>
      <c r="M115" s="143">
        <f>M108*(1+Предпосылки!$K$6)</f>
        <v>0.89988336788803358</v>
      </c>
    </row>
    <row r="116" spans="1:13">
      <c r="A116" s="87" t="s">
        <v>161</v>
      </c>
      <c r="B116" s="143">
        <f>B109*(1+Предпосылки!$K$6)</f>
        <v>0.53751422645661051</v>
      </c>
      <c r="C116" s="143">
        <f>C109*(1+Предпосылки!$K$6)</f>
        <v>0.54355371214713444</v>
      </c>
      <c r="D116" s="143">
        <f>D109*(1+Предпосылки!$K$6)</f>
        <v>0.64018548319551372</v>
      </c>
      <c r="E116" s="143">
        <f>E109*(1+Предпосылки!$K$6)</f>
        <v>0.8274095396017489</v>
      </c>
      <c r="F116" s="143">
        <f>F109*(1+Предпосылки!$K$6)</f>
        <v>0.93612028203117592</v>
      </c>
      <c r="G116" s="143">
        <f>G109*(1+Предпосылки!$K$6)</f>
        <v>1.0448310244606027</v>
      </c>
      <c r="H116" s="143">
        <f>H109*(1+Предпосылки!$K$6)</f>
        <v>1.1595812525805536</v>
      </c>
      <c r="I116" s="143">
        <f>I109*(1+Предпосылки!$K$6)</f>
        <v>1.1354233098184585</v>
      </c>
      <c r="J116" s="143">
        <f>J109*(1+Предпосылки!$K$6)</f>
        <v>0.75493571131546455</v>
      </c>
      <c r="K116" s="143">
        <f>K109*(1+Предпосылки!$K$6)</f>
        <v>0.70058034010075088</v>
      </c>
      <c r="L116" s="143">
        <f>L109*(1+Предпосылки!$K$6)</f>
        <v>0.70058034010075088</v>
      </c>
      <c r="M116" s="143">
        <f>M109*(1+Предпосылки!$K$6)</f>
        <v>0.86364645374489135</v>
      </c>
    </row>
    <row r="117" spans="1:13">
      <c r="A117" s="87" t="s">
        <v>162</v>
      </c>
      <c r="B117" s="143">
        <f>B110*(1+Предпосылки!$K$6)</f>
        <v>0.87572542512593898</v>
      </c>
      <c r="C117" s="143">
        <f>C110*(1+Предпосылки!$K$6)</f>
        <v>1.0206730816985079</v>
      </c>
      <c r="D117" s="143">
        <f>D110*(1+Предпосылки!$K$6)</f>
        <v>1.4192791372730731</v>
      </c>
      <c r="E117" s="143">
        <f>E110*(1+Предпосылки!$K$6)</f>
        <v>1.6729375362750698</v>
      </c>
      <c r="F117" s="143">
        <f>F110*(1+Предпосылки!$K$6)</f>
        <v>1.1958181667236958</v>
      </c>
      <c r="G117" s="143">
        <f>G110*(1+Предпосылки!$K$6)</f>
        <v>0.96027822479327118</v>
      </c>
      <c r="H117" s="143">
        <f>H110*(1+Предпосылки!$K$6)</f>
        <v>0.73077776855336951</v>
      </c>
      <c r="I117" s="143">
        <f>I110*(1+Предпосылки!$K$6)</f>
        <v>0.63414599750499023</v>
      </c>
      <c r="J117" s="143">
        <f>J110*(1+Предпосылки!$K$6)</f>
        <v>0.60394856905237149</v>
      </c>
      <c r="K117" s="143">
        <f>K110*(1+Предпосылки!$K$6)</f>
        <v>0.58583011198080048</v>
      </c>
      <c r="L117" s="143">
        <f>L110*(1+Предпосылки!$K$6)</f>
        <v>0.60394856905237149</v>
      </c>
      <c r="M117" s="143">
        <f>M110*(1+Предпосылки!$K$6)</f>
        <v>0.62206702612394271</v>
      </c>
    </row>
    <row r="119" spans="1:13">
      <c r="B119" s="4">
        <f t="shared" ref="B119:M119" si="24">YEAR(B120)</f>
        <v>2038</v>
      </c>
      <c r="C119" s="4">
        <f t="shared" si="24"/>
        <v>2038</v>
      </c>
      <c r="D119" s="4">
        <f t="shared" si="24"/>
        <v>2038</v>
      </c>
      <c r="E119" s="4">
        <f t="shared" si="24"/>
        <v>2038</v>
      </c>
      <c r="F119" s="4">
        <f t="shared" si="24"/>
        <v>2038</v>
      </c>
      <c r="G119" s="4">
        <f t="shared" si="24"/>
        <v>2038</v>
      </c>
      <c r="H119" s="4">
        <f t="shared" si="24"/>
        <v>2038</v>
      </c>
      <c r="I119" s="4">
        <f t="shared" si="24"/>
        <v>2038</v>
      </c>
      <c r="J119" s="4">
        <f t="shared" si="24"/>
        <v>2038</v>
      </c>
      <c r="K119" s="4">
        <f t="shared" si="24"/>
        <v>2038</v>
      </c>
      <c r="L119" s="4">
        <f t="shared" si="24"/>
        <v>2038</v>
      </c>
      <c r="M119" s="4">
        <f t="shared" si="24"/>
        <v>2038</v>
      </c>
    </row>
    <row r="120" spans="1:13">
      <c r="B120" s="85">
        <v>50406</v>
      </c>
      <c r="C120" s="85">
        <v>50437</v>
      </c>
      <c r="D120" s="85">
        <v>50465</v>
      </c>
      <c r="E120" s="85">
        <v>50496</v>
      </c>
      <c r="F120" s="85">
        <v>50526</v>
      </c>
      <c r="G120" s="85">
        <v>50557</v>
      </c>
      <c r="H120" s="85">
        <v>50587</v>
      </c>
      <c r="I120" s="85">
        <v>50618</v>
      </c>
      <c r="J120" s="85">
        <v>50649</v>
      </c>
      <c r="K120" s="85">
        <v>50679</v>
      </c>
      <c r="L120" s="85">
        <v>50710</v>
      </c>
      <c r="M120" s="85">
        <v>50740</v>
      </c>
    </row>
    <row r="121" spans="1:13">
      <c r="A121" s="87" t="s">
        <v>159</v>
      </c>
      <c r="B121" s="143">
        <f>B114*(1+Предпосылки!$K$6)</f>
        <v>0.91114700870086029</v>
      </c>
      <c r="C121" s="143">
        <f>C114*(1+Предпосылки!$K$6)</f>
        <v>0.94300529571837277</v>
      </c>
      <c r="D121" s="143">
        <f>D114*(1+Предпосылки!$K$6)</f>
        <v>1.0576951289814183</v>
      </c>
      <c r="E121" s="143">
        <f>E114*(1+Предпосылки!$K$6)</f>
        <v>1.1468983326304536</v>
      </c>
      <c r="F121" s="143">
        <f>F114*(1+Предпосылки!$K$6)</f>
        <v>1.2361015362794889</v>
      </c>
      <c r="G121" s="143">
        <f>G114*(1+Предпосылки!$K$6)</f>
        <v>1.255216508489996</v>
      </c>
      <c r="H121" s="143">
        <f>H114*(1+Предпосылки!$K$6)</f>
        <v>1.1660133048409611</v>
      </c>
      <c r="I121" s="143">
        <f>I114*(1+Предпосылки!$K$6)</f>
        <v>1.1150400456129408</v>
      </c>
      <c r="J121" s="143">
        <f>J114*(1+Предпосылки!$K$6)</f>
        <v>1.0194651845604028</v>
      </c>
      <c r="K121" s="143">
        <f>K114*(1+Предпосылки!$K$6)</f>
        <v>0.98123524013938812</v>
      </c>
      <c r="L121" s="143">
        <f>L114*(1+Предпосылки!$K$6)</f>
        <v>0.98760689754289055</v>
      </c>
      <c r="M121" s="143">
        <f>M114*(1+Предпосылки!$K$6)</f>
        <v>1.000350212349896</v>
      </c>
    </row>
    <row r="122" spans="1:13">
      <c r="A122" s="87" t="s">
        <v>160</v>
      </c>
      <c r="B122" s="143">
        <f>B115*(1+Предпосылки!$K$6)</f>
        <v>0.9238903235078656</v>
      </c>
      <c r="C122" s="143">
        <f>C115*(1+Предпосылки!$K$6)</f>
        <v>0.94937695312187542</v>
      </c>
      <c r="D122" s="143">
        <f>D115*(1+Предпосылки!$K$6)</f>
        <v>1.0513234715779158</v>
      </c>
      <c r="E122" s="143">
        <f>E115*(1+Предпосылки!$K$6)</f>
        <v>1.1851282770514686</v>
      </c>
      <c r="F122" s="143">
        <f>F115*(1+Предпосылки!$K$6)</f>
        <v>1.2807031381040064</v>
      </c>
      <c r="G122" s="143">
        <f>G115*(1+Предпосылки!$K$6)</f>
        <v>1.3571630269460371</v>
      </c>
      <c r="H122" s="143">
        <f>H115*(1+Предпосылки!$K$6)</f>
        <v>1.2934464529110115</v>
      </c>
      <c r="I122" s="143">
        <f>I115*(1+Предпосылки!$K$6)</f>
        <v>1.2297298788759863</v>
      </c>
      <c r="J122" s="143">
        <f>J115*(1+Предпосылки!$K$6)</f>
        <v>1.0322084993674081</v>
      </c>
      <c r="K122" s="143">
        <f>K115*(1+Предпосылки!$K$6)</f>
        <v>0.96212026792888028</v>
      </c>
      <c r="L122" s="143">
        <f>L115*(1+Предпосылки!$K$6)</f>
        <v>0.9238903235078656</v>
      </c>
      <c r="M122" s="143">
        <f>M115*(1+Предпосылки!$K$6)</f>
        <v>0.94937695312187542</v>
      </c>
    </row>
    <row r="123" spans="1:13">
      <c r="A123" s="87" t="s">
        <v>161</v>
      </c>
      <c r="B123" s="143">
        <f>B116*(1+Предпосылки!$K$6)</f>
        <v>0.56707750891172404</v>
      </c>
      <c r="C123" s="143">
        <f>C116*(1+Предпосылки!$K$6)</f>
        <v>0.5734491663152268</v>
      </c>
      <c r="D123" s="143">
        <f>D116*(1+Предпосылки!$K$6)</f>
        <v>0.67539568477126688</v>
      </c>
      <c r="E123" s="143">
        <f>E116*(1+Предпосылки!$K$6)</f>
        <v>0.87291706427984506</v>
      </c>
      <c r="F123" s="143">
        <f>F116*(1+Предпосылки!$K$6)</f>
        <v>0.98760689754289055</v>
      </c>
      <c r="G123" s="143">
        <f>G116*(1+Предпосылки!$K$6)</f>
        <v>1.1022967308059357</v>
      </c>
      <c r="H123" s="143">
        <f>H116*(1+Предпосылки!$K$6)</f>
        <v>1.2233582214724839</v>
      </c>
      <c r="I123" s="143">
        <f>I116*(1+Предпосылки!$K$6)</f>
        <v>1.1978715918584737</v>
      </c>
      <c r="J123" s="143">
        <f>J116*(1+Предпосылки!$K$6)</f>
        <v>0.79645717543781502</v>
      </c>
      <c r="K123" s="143">
        <f>K116*(1+Предпосылки!$K$6)</f>
        <v>0.73911225880629217</v>
      </c>
      <c r="L123" s="143">
        <f>L116*(1+Предпосылки!$K$6)</f>
        <v>0.73911225880629217</v>
      </c>
      <c r="M123" s="143">
        <f>M116*(1+Предпосылки!$K$6)</f>
        <v>0.91114700870086029</v>
      </c>
    </row>
    <row r="124" spans="1:13">
      <c r="A124" s="87" t="s">
        <v>162</v>
      </c>
      <c r="B124" s="143">
        <f>B117*(1+Предпосылки!$K$6)</f>
        <v>0.9238903235078656</v>
      </c>
      <c r="C124" s="143">
        <f>C117*(1+Предпосылки!$K$6)</f>
        <v>1.0768101011919258</v>
      </c>
      <c r="D124" s="143">
        <f>D117*(1+Предпосылки!$K$6)</f>
        <v>1.4973394898230921</v>
      </c>
      <c r="E124" s="143">
        <f>E117*(1+Предпосылки!$K$6)</f>
        <v>1.7649491007701985</v>
      </c>
      <c r="F124" s="143">
        <f>F117*(1+Предпосылки!$K$6)</f>
        <v>1.2615881658934989</v>
      </c>
      <c r="G124" s="143">
        <f>G117*(1+Предпосылки!$K$6)</f>
        <v>1.013093527156901</v>
      </c>
      <c r="H124" s="143">
        <f>H117*(1+Предпосылки!$K$6)</f>
        <v>0.77097054582380475</v>
      </c>
      <c r="I124" s="143">
        <f>I117*(1+Предпосылки!$K$6)</f>
        <v>0.66902402736776467</v>
      </c>
      <c r="J124" s="143">
        <f>J117*(1+Предпосылки!$K$6)</f>
        <v>0.63716574035025186</v>
      </c>
      <c r="K124" s="143">
        <f>K117*(1+Предпосылки!$K$6)</f>
        <v>0.61805076813974447</v>
      </c>
      <c r="L124" s="143">
        <f>L117*(1+Предпосылки!$K$6)</f>
        <v>0.63716574035025186</v>
      </c>
      <c r="M124" s="143">
        <f>M117*(1+Предпосылки!$K$6)</f>
        <v>0.65628071256075948</v>
      </c>
    </row>
  </sheetData>
  <mergeCells count="2">
    <mergeCell ref="R20:S20"/>
    <mergeCell ref="R21:S21"/>
  </mergeCells>
  <conditionalFormatting sqref="B9:M12">
    <cfRule type="cellIs" dxfId="8" priority="1" operator="lessThan">
      <formula>0</formula>
    </cfRule>
    <cfRule type="cellIs" dxfId="7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30825-4EE0-4376-8E24-085ACE5D9A6C}">
  <dimension ref="A1:FO43"/>
  <sheetViews>
    <sheetView topLeftCell="A21" zoomScaleNormal="100" workbookViewId="0">
      <pane xSplit="1" topLeftCell="B1" activePane="topRight" state="frozen"/>
      <selection pane="topRight" activeCell="T35" sqref="T35:Y38"/>
    </sheetView>
  </sheetViews>
  <sheetFormatPr defaultRowHeight="14.4"/>
  <cols>
    <col min="1" max="1" width="39.6640625" style="87" bestFit="1" customWidth="1"/>
    <col min="2" max="15" width="9.88671875" hidden="1" customWidth="1"/>
    <col min="16" max="171" width="9.88671875" bestFit="1" customWidth="1"/>
  </cols>
  <sheetData>
    <row r="1" spans="1:171" ht="18">
      <c r="A1" s="108" t="s">
        <v>101</v>
      </c>
      <c r="B1" s="4">
        <f t="shared" ref="B1:AW1" si="0">YEAR(B2)</f>
        <v>2024</v>
      </c>
      <c r="C1" s="4">
        <f t="shared" si="0"/>
        <v>2024</v>
      </c>
      <c r="D1" s="4">
        <f t="shared" si="0"/>
        <v>2025</v>
      </c>
      <c r="E1" s="4">
        <f t="shared" si="0"/>
        <v>2025</v>
      </c>
      <c r="F1" s="4">
        <f t="shared" si="0"/>
        <v>2025</v>
      </c>
      <c r="G1" s="4">
        <f t="shared" si="0"/>
        <v>2025</v>
      </c>
      <c r="H1" s="4">
        <f t="shared" si="0"/>
        <v>2025</v>
      </c>
      <c r="I1" s="4">
        <f t="shared" si="0"/>
        <v>2025</v>
      </c>
      <c r="J1" s="4">
        <f t="shared" si="0"/>
        <v>2025</v>
      </c>
      <c r="K1" s="4">
        <f t="shared" si="0"/>
        <v>2025</v>
      </c>
      <c r="L1" s="4">
        <f t="shared" si="0"/>
        <v>2025</v>
      </c>
      <c r="M1" s="4">
        <f t="shared" si="0"/>
        <v>2025</v>
      </c>
      <c r="N1" s="4">
        <f t="shared" si="0"/>
        <v>2025</v>
      </c>
      <c r="O1" s="4">
        <f t="shared" si="0"/>
        <v>2025</v>
      </c>
      <c r="P1" s="4">
        <f t="shared" si="0"/>
        <v>2026</v>
      </c>
      <c r="Q1" s="4">
        <f t="shared" si="0"/>
        <v>2026</v>
      </c>
      <c r="R1" s="4">
        <f t="shared" si="0"/>
        <v>2026</v>
      </c>
      <c r="S1" s="4">
        <f t="shared" si="0"/>
        <v>2026</v>
      </c>
      <c r="T1" s="4">
        <f t="shared" si="0"/>
        <v>2026</v>
      </c>
      <c r="U1" s="4">
        <f t="shared" si="0"/>
        <v>2026</v>
      </c>
      <c r="V1" s="4">
        <f t="shared" si="0"/>
        <v>2026</v>
      </c>
      <c r="W1" s="4">
        <f t="shared" si="0"/>
        <v>2026</v>
      </c>
      <c r="X1" s="4">
        <f t="shared" si="0"/>
        <v>2026</v>
      </c>
      <c r="Y1" s="4">
        <f t="shared" si="0"/>
        <v>2026</v>
      </c>
      <c r="Z1" s="4">
        <f t="shared" si="0"/>
        <v>2026</v>
      </c>
      <c r="AA1" s="4">
        <f t="shared" si="0"/>
        <v>2026</v>
      </c>
      <c r="AB1" s="4">
        <f t="shared" si="0"/>
        <v>2027</v>
      </c>
      <c r="AC1" s="4">
        <f t="shared" si="0"/>
        <v>2027</v>
      </c>
      <c r="AD1" s="4">
        <f t="shared" si="0"/>
        <v>2027</v>
      </c>
      <c r="AE1" s="4">
        <f t="shared" si="0"/>
        <v>2027</v>
      </c>
      <c r="AF1" s="4">
        <f t="shared" si="0"/>
        <v>2027</v>
      </c>
      <c r="AG1" s="4">
        <f t="shared" si="0"/>
        <v>2027</v>
      </c>
      <c r="AH1" s="4">
        <f t="shared" si="0"/>
        <v>2027</v>
      </c>
      <c r="AI1" s="4">
        <f t="shared" si="0"/>
        <v>2027</v>
      </c>
      <c r="AJ1" s="4">
        <f t="shared" si="0"/>
        <v>2027</v>
      </c>
      <c r="AK1" s="4">
        <f t="shared" si="0"/>
        <v>2027</v>
      </c>
      <c r="AL1" s="4">
        <f t="shared" si="0"/>
        <v>2027</v>
      </c>
      <c r="AM1" s="4">
        <f t="shared" si="0"/>
        <v>2027</v>
      </c>
      <c r="AN1" s="4">
        <f t="shared" si="0"/>
        <v>2028</v>
      </c>
      <c r="AO1" s="4">
        <f t="shared" si="0"/>
        <v>2028</v>
      </c>
      <c r="AP1" s="4">
        <f t="shared" si="0"/>
        <v>2028</v>
      </c>
      <c r="AQ1" s="4">
        <f t="shared" si="0"/>
        <v>2028</v>
      </c>
      <c r="AR1" s="4">
        <f t="shared" si="0"/>
        <v>2028</v>
      </c>
      <c r="AS1" s="4">
        <f t="shared" si="0"/>
        <v>2028</v>
      </c>
      <c r="AT1" s="4">
        <f t="shared" si="0"/>
        <v>2028</v>
      </c>
      <c r="AU1" s="4">
        <f t="shared" si="0"/>
        <v>2028</v>
      </c>
      <c r="AV1" s="4">
        <f t="shared" si="0"/>
        <v>2028</v>
      </c>
      <c r="AW1" s="4">
        <f t="shared" si="0"/>
        <v>2028</v>
      </c>
      <c r="AX1" s="4">
        <f t="shared" ref="AX1:DK1" si="1">YEAR(AX2)</f>
        <v>2028</v>
      </c>
      <c r="AY1" s="4">
        <f t="shared" si="1"/>
        <v>2028</v>
      </c>
      <c r="AZ1" s="4">
        <f t="shared" si="1"/>
        <v>2029</v>
      </c>
      <c r="BA1" s="4">
        <f t="shared" si="1"/>
        <v>2029</v>
      </c>
      <c r="BB1" s="4">
        <f t="shared" si="1"/>
        <v>2029</v>
      </c>
      <c r="BC1" s="4">
        <f t="shared" si="1"/>
        <v>2029</v>
      </c>
      <c r="BD1" s="4">
        <f t="shared" si="1"/>
        <v>2029</v>
      </c>
      <c r="BE1" s="4">
        <f t="shared" si="1"/>
        <v>2029</v>
      </c>
      <c r="BF1" s="4">
        <f t="shared" si="1"/>
        <v>2029</v>
      </c>
      <c r="BG1" s="4">
        <f t="shared" si="1"/>
        <v>2029</v>
      </c>
      <c r="BH1" s="4">
        <f t="shared" si="1"/>
        <v>2029</v>
      </c>
      <c r="BI1" s="4">
        <f t="shared" si="1"/>
        <v>2029</v>
      </c>
      <c r="BJ1" s="4">
        <f t="shared" si="1"/>
        <v>2029</v>
      </c>
      <c r="BK1" s="4">
        <f t="shared" si="1"/>
        <v>2029</v>
      </c>
      <c r="BL1" s="4">
        <f t="shared" si="1"/>
        <v>2030</v>
      </c>
      <c r="BM1" s="4">
        <f t="shared" si="1"/>
        <v>2030</v>
      </c>
      <c r="BN1" s="4">
        <f t="shared" si="1"/>
        <v>2030</v>
      </c>
      <c r="BO1" s="4">
        <f t="shared" si="1"/>
        <v>2030</v>
      </c>
      <c r="BP1" s="4">
        <f t="shared" si="1"/>
        <v>2030</v>
      </c>
      <c r="BQ1" s="4">
        <f t="shared" si="1"/>
        <v>2030</v>
      </c>
      <c r="BR1" s="4">
        <f t="shared" si="1"/>
        <v>2030</v>
      </c>
      <c r="BS1" s="4">
        <f t="shared" si="1"/>
        <v>2030</v>
      </c>
      <c r="BT1" s="4">
        <f t="shared" si="1"/>
        <v>2030</v>
      </c>
      <c r="BU1" s="4">
        <f t="shared" si="1"/>
        <v>2030</v>
      </c>
      <c r="BV1" s="4">
        <f t="shared" si="1"/>
        <v>2030</v>
      </c>
      <c r="BW1" s="4">
        <f t="shared" si="1"/>
        <v>2030</v>
      </c>
      <c r="BX1" s="4">
        <f t="shared" si="1"/>
        <v>2031</v>
      </c>
      <c r="BY1" s="4">
        <f t="shared" si="1"/>
        <v>2031</v>
      </c>
      <c r="BZ1" s="4">
        <f t="shared" si="1"/>
        <v>2031</v>
      </c>
      <c r="CA1" s="4">
        <f t="shared" si="1"/>
        <v>2031</v>
      </c>
      <c r="CB1" s="4">
        <f t="shared" si="1"/>
        <v>2031</v>
      </c>
      <c r="CC1" s="4">
        <f t="shared" si="1"/>
        <v>2031</v>
      </c>
      <c r="CD1" s="4">
        <f t="shared" si="1"/>
        <v>2031</v>
      </c>
      <c r="CE1" s="4">
        <f t="shared" si="1"/>
        <v>2031</v>
      </c>
      <c r="CF1" s="4">
        <f t="shared" si="1"/>
        <v>2031</v>
      </c>
      <c r="CG1" s="4">
        <f t="shared" si="1"/>
        <v>2031</v>
      </c>
      <c r="CH1" s="4">
        <f t="shared" si="1"/>
        <v>2031</v>
      </c>
      <c r="CI1" s="4">
        <f t="shared" si="1"/>
        <v>2031</v>
      </c>
      <c r="CJ1" s="4">
        <f t="shared" si="1"/>
        <v>2032</v>
      </c>
      <c r="CK1" s="4">
        <f t="shared" si="1"/>
        <v>2032</v>
      </c>
      <c r="CL1" s="4">
        <f t="shared" si="1"/>
        <v>2032</v>
      </c>
      <c r="CM1" s="4">
        <f t="shared" si="1"/>
        <v>2032</v>
      </c>
      <c r="CN1" s="4">
        <f t="shared" si="1"/>
        <v>2032</v>
      </c>
      <c r="CO1" s="4">
        <f t="shared" si="1"/>
        <v>2032</v>
      </c>
      <c r="CP1" s="4">
        <f t="shared" si="1"/>
        <v>2032</v>
      </c>
      <c r="CQ1" s="4">
        <f t="shared" si="1"/>
        <v>2032</v>
      </c>
      <c r="CR1" s="4">
        <f t="shared" si="1"/>
        <v>2032</v>
      </c>
      <c r="CS1" s="4">
        <f t="shared" si="1"/>
        <v>2032</v>
      </c>
      <c r="CT1" s="4">
        <f t="shared" si="1"/>
        <v>2032</v>
      </c>
      <c r="CU1" s="4">
        <f t="shared" si="1"/>
        <v>2032</v>
      </c>
      <c r="CV1" s="4">
        <f t="shared" si="1"/>
        <v>2033</v>
      </c>
      <c r="CW1" s="4">
        <f t="shared" si="1"/>
        <v>2033</v>
      </c>
      <c r="CX1" s="4">
        <f t="shared" si="1"/>
        <v>2033</v>
      </c>
      <c r="CY1" s="4">
        <f t="shared" si="1"/>
        <v>2033</v>
      </c>
      <c r="CZ1" s="4">
        <f t="shared" si="1"/>
        <v>2033</v>
      </c>
      <c r="DA1" s="4">
        <f t="shared" si="1"/>
        <v>2033</v>
      </c>
      <c r="DB1" s="4">
        <f t="shared" si="1"/>
        <v>2033</v>
      </c>
      <c r="DC1" s="4">
        <f t="shared" si="1"/>
        <v>2033</v>
      </c>
      <c r="DD1" s="4">
        <f t="shared" si="1"/>
        <v>2033</v>
      </c>
      <c r="DE1" s="4">
        <f t="shared" si="1"/>
        <v>2033</v>
      </c>
      <c r="DF1" s="4">
        <f t="shared" si="1"/>
        <v>2033</v>
      </c>
      <c r="DG1" s="4">
        <f t="shared" si="1"/>
        <v>2033</v>
      </c>
      <c r="DH1" s="4">
        <f t="shared" si="1"/>
        <v>2034</v>
      </c>
      <c r="DI1" s="4">
        <f t="shared" si="1"/>
        <v>2034</v>
      </c>
      <c r="DJ1" s="4">
        <f>YEAR(DJ2)</f>
        <v>2034</v>
      </c>
      <c r="DK1" s="4">
        <f t="shared" si="1"/>
        <v>2034</v>
      </c>
      <c r="DL1" s="4">
        <f t="shared" ref="DL1:FO1" si="2">YEAR(DL2)</f>
        <v>2034</v>
      </c>
      <c r="DM1" s="4">
        <f t="shared" si="2"/>
        <v>2034</v>
      </c>
      <c r="DN1" s="4">
        <f t="shared" si="2"/>
        <v>2034</v>
      </c>
      <c r="DO1" s="4">
        <f t="shared" si="2"/>
        <v>2034</v>
      </c>
      <c r="DP1" s="4">
        <f t="shared" si="2"/>
        <v>2034</v>
      </c>
      <c r="DQ1" s="4">
        <f t="shared" si="2"/>
        <v>2034</v>
      </c>
      <c r="DR1" s="4">
        <f t="shared" si="2"/>
        <v>2034</v>
      </c>
      <c r="DS1" s="4">
        <f t="shared" si="2"/>
        <v>2034</v>
      </c>
      <c r="DT1" s="4">
        <f t="shared" si="2"/>
        <v>2035</v>
      </c>
      <c r="DU1" s="4">
        <f t="shared" si="2"/>
        <v>2035</v>
      </c>
      <c r="DV1" s="4">
        <f t="shared" si="2"/>
        <v>2035</v>
      </c>
      <c r="DW1" s="4">
        <f t="shared" si="2"/>
        <v>2035</v>
      </c>
      <c r="DX1" s="4">
        <f t="shared" si="2"/>
        <v>2035</v>
      </c>
      <c r="DY1" s="4">
        <f t="shared" si="2"/>
        <v>2035</v>
      </c>
      <c r="DZ1" s="4">
        <f t="shared" si="2"/>
        <v>2035</v>
      </c>
      <c r="EA1" s="4">
        <f t="shared" si="2"/>
        <v>2035</v>
      </c>
      <c r="EB1" s="4">
        <f t="shared" si="2"/>
        <v>2035</v>
      </c>
      <c r="EC1" s="4">
        <f t="shared" si="2"/>
        <v>2035</v>
      </c>
      <c r="ED1" s="4">
        <f t="shared" si="2"/>
        <v>2035</v>
      </c>
      <c r="EE1" s="4">
        <f t="shared" si="2"/>
        <v>2035</v>
      </c>
      <c r="EF1" s="4">
        <f t="shared" si="2"/>
        <v>2036</v>
      </c>
      <c r="EG1" s="4">
        <f t="shared" si="2"/>
        <v>2036</v>
      </c>
      <c r="EH1" s="4">
        <f t="shared" si="2"/>
        <v>2036</v>
      </c>
      <c r="EI1" s="4">
        <f t="shared" si="2"/>
        <v>2036</v>
      </c>
      <c r="EJ1" s="4">
        <f t="shared" si="2"/>
        <v>2036</v>
      </c>
      <c r="EK1" s="4">
        <f t="shared" si="2"/>
        <v>2036</v>
      </c>
      <c r="EL1" s="4">
        <f t="shared" si="2"/>
        <v>2036</v>
      </c>
      <c r="EM1" s="4">
        <f t="shared" si="2"/>
        <v>2036</v>
      </c>
      <c r="EN1" s="4">
        <f t="shared" si="2"/>
        <v>2036</v>
      </c>
      <c r="EO1" s="4">
        <f t="shared" si="2"/>
        <v>2036</v>
      </c>
      <c r="EP1" s="4">
        <f t="shared" si="2"/>
        <v>2036</v>
      </c>
      <c r="EQ1" s="4">
        <f t="shared" si="2"/>
        <v>2036</v>
      </c>
      <c r="ER1" s="4">
        <f t="shared" si="2"/>
        <v>2037</v>
      </c>
      <c r="ES1" s="4">
        <f t="shared" si="2"/>
        <v>2037</v>
      </c>
      <c r="ET1" s="4">
        <f t="shared" si="2"/>
        <v>2037</v>
      </c>
      <c r="EU1" s="4">
        <f t="shared" si="2"/>
        <v>2037</v>
      </c>
      <c r="EV1" s="4">
        <f t="shared" si="2"/>
        <v>2037</v>
      </c>
      <c r="EW1" s="4">
        <f t="shared" si="2"/>
        <v>2037</v>
      </c>
      <c r="EX1" s="4">
        <f t="shared" si="2"/>
        <v>2037</v>
      </c>
      <c r="EY1" s="4">
        <f t="shared" si="2"/>
        <v>2037</v>
      </c>
      <c r="EZ1" s="4">
        <f t="shared" si="2"/>
        <v>2037</v>
      </c>
      <c r="FA1" s="4">
        <f t="shared" si="2"/>
        <v>2037</v>
      </c>
      <c r="FB1" s="4">
        <f t="shared" si="2"/>
        <v>2037</v>
      </c>
      <c r="FC1" s="4">
        <f t="shared" si="2"/>
        <v>2037</v>
      </c>
      <c r="FD1" s="4">
        <f t="shared" si="2"/>
        <v>2038</v>
      </c>
      <c r="FE1" s="4">
        <f t="shared" si="2"/>
        <v>2038</v>
      </c>
      <c r="FF1" s="4">
        <f t="shared" si="2"/>
        <v>2038</v>
      </c>
      <c r="FG1" s="4">
        <f t="shared" si="2"/>
        <v>2038</v>
      </c>
      <c r="FH1" s="4">
        <f t="shared" si="2"/>
        <v>2038</v>
      </c>
      <c r="FI1" s="4">
        <f t="shared" si="2"/>
        <v>2038</v>
      </c>
      <c r="FJ1" s="4">
        <f t="shared" si="2"/>
        <v>2038</v>
      </c>
      <c r="FK1" s="4">
        <f t="shared" si="2"/>
        <v>2038</v>
      </c>
      <c r="FL1" s="4">
        <f t="shared" si="2"/>
        <v>2038</v>
      </c>
      <c r="FM1" s="4">
        <f t="shared" si="2"/>
        <v>2038</v>
      </c>
      <c r="FN1" s="4">
        <f t="shared" si="2"/>
        <v>2038</v>
      </c>
      <c r="FO1" s="4">
        <f t="shared" si="2"/>
        <v>2038</v>
      </c>
    </row>
    <row r="2" spans="1:171">
      <c r="A2" s="109" t="s">
        <v>127</v>
      </c>
      <c r="B2" s="85">
        <v>45597</v>
      </c>
      <c r="C2" s="85">
        <v>45627</v>
      </c>
      <c r="D2" s="85">
        <v>45658</v>
      </c>
      <c r="E2" s="85">
        <v>45689</v>
      </c>
      <c r="F2" s="85">
        <v>45717</v>
      </c>
      <c r="G2" s="85">
        <v>45748</v>
      </c>
      <c r="H2" s="85">
        <v>45778</v>
      </c>
      <c r="I2" s="85">
        <v>45809</v>
      </c>
      <c r="J2" s="85">
        <v>45839</v>
      </c>
      <c r="K2" s="85">
        <v>45870</v>
      </c>
      <c r="L2" s="85">
        <v>45901</v>
      </c>
      <c r="M2" s="85">
        <v>45931</v>
      </c>
      <c r="N2" s="85">
        <v>45962</v>
      </c>
      <c r="O2" s="85">
        <v>45992</v>
      </c>
      <c r="P2" s="85">
        <v>46023</v>
      </c>
      <c r="Q2" s="85">
        <v>46054</v>
      </c>
      <c r="R2" s="85">
        <v>46082</v>
      </c>
      <c r="S2" s="85">
        <v>46113</v>
      </c>
      <c r="T2" s="85">
        <v>46143</v>
      </c>
      <c r="U2" s="85">
        <v>46174</v>
      </c>
      <c r="V2" s="85">
        <v>46204</v>
      </c>
      <c r="W2" s="85">
        <v>46235</v>
      </c>
      <c r="X2" s="85">
        <v>46266</v>
      </c>
      <c r="Y2" s="85">
        <v>46296</v>
      </c>
      <c r="Z2" s="85">
        <v>46327</v>
      </c>
      <c r="AA2" s="85">
        <v>46357</v>
      </c>
      <c r="AB2" s="85">
        <v>46388</v>
      </c>
      <c r="AC2" s="85">
        <v>46419</v>
      </c>
      <c r="AD2" s="85">
        <v>46447</v>
      </c>
      <c r="AE2" s="85">
        <v>46478</v>
      </c>
      <c r="AF2" s="85">
        <v>46508</v>
      </c>
      <c r="AG2" s="85">
        <v>46539</v>
      </c>
      <c r="AH2" s="85">
        <v>46569</v>
      </c>
      <c r="AI2" s="85">
        <v>46600</v>
      </c>
      <c r="AJ2" s="85">
        <v>46631</v>
      </c>
      <c r="AK2" s="85">
        <v>46661</v>
      </c>
      <c r="AL2" s="85">
        <v>46692</v>
      </c>
      <c r="AM2" s="85">
        <v>46722</v>
      </c>
      <c r="AN2" s="85">
        <v>46753</v>
      </c>
      <c r="AO2" s="85">
        <v>46784</v>
      </c>
      <c r="AP2" s="85">
        <v>46813</v>
      </c>
      <c r="AQ2" s="85">
        <v>46844</v>
      </c>
      <c r="AR2" s="85">
        <v>46874</v>
      </c>
      <c r="AS2" s="85">
        <v>46905</v>
      </c>
      <c r="AT2" s="85">
        <v>46935</v>
      </c>
      <c r="AU2" s="85">
        <v>46966</v>
      </c>
      <c r="AV2" s="85">
        <v>46997</v>
      </c>
      <c r="AW2" s="85">
        <v>47027</v>
      </c>
      <c r="AX2" s="85">
        <v>47058</v>
      </c>
      <c r="AY2" s="85">
        <v>47088</v>
      </c>
      <c r="AZ2" s="85">
        <v>47119</v>
      </c>
      <c r="BA2" s="85">
        <v>47150</v>
      </c>
      <c r="BB2" s="85">
        <v>47178</v>
      </c>
      <c r="BC2" s="85">
        <v>47209</v>
      </c>
      <c r="BD2" s="85">
        <v>47239</v>
      </c>
      <c r="BE2" s="85">
        <v>47270</v>
      </c>
      <c r="BF2" s="85">
        <v>47300</v>
      </c>
      <c r="BG2" s="85">
        <v>47331</v>
      </c>
      <c r="BH2" s="85">
        <v>47362</v>
      </c>
      <c r="BI2" s="85">
        <v>47392</v>
      </c>
      <c r="BJ2" s="85">
        <v>47423</v>
      </c>
      <c r="BK2" s="85">
        <v>47453</v>
      </c>
      <c r="BL2" s="85">
        <v>47484</v>
      </c>
      <c r="BM2" s="85">
        <v>47515</v>
      </c>
      <c r="BN2" s="85">
        <v>47543</v>
      </c>
      <c r="BO2" s="85">
        <v>47574</v>
      </c>
      <c r="BP2" s="85">
        <v>47604</v>
      </c>
      <c r="BQ2" s="85">
        <v>47635</v>
      </c>
      <c r="BR2" s="85">
        <v>47665</v>
      </c>
      <c r="BS2" s="85">
        <v>47696</v>
      </c>
      <c r="BT2" s="85">
        <v>47727</v>
      </c>
      <c r="BU2" s="85">
        <v>47757</v>
      </c>
      <c r="BV2" s="85">
        <v>47788</v>
      </c>
      <c r="BW2" s="85">
        <v>47818</v>
      </c>
      <c r="BX2" s="85">
        <v>47849</v>
      </c>
      <c r="BY2" s="85">
        <v>47880</v>
      </c>
      <c r="BZ2" s="85">
        <v>47908</v>
      </c>
      <c r="CA2" s="85">
        <v>47939</v>
      </c>
      <c r="CB2" s="85">
        <v>47969</v>
      </c>
      <c r="CC2" s="85">
        <v>48000</v>
      </c>
      <c r="CD2" s="85">
        <v>48030</v>
      </c>
      <c r="CE2" s="85">
        <v>48061</v>
      </c>
      <c r="CF2" s="85">
        <v>48092</v>
      </c>
      <c r="CG2" s="85">
        <v>48122</v>
      </c>
      <c r="CH2" s="85">
        <v>48153</v>
      </c>
      <c r="CI2" s="85">
        <v>48183</v>
      </c>
      <c r="CJ2" s="85">
        <v>48214</v>
      </c>
      <c r="CK2" s="85">
        <v>48245</v>
      </c>
      <c r="CL2" s="85">
        <v>48274</v>
      </c>
      <c r="CM2" s="85">
        <v>48305</v>
      </c>
      <c r="CN2" s="85">
        <v>48335</v>
      </c>
      <c r="CO2" s="85">
        <v>48366</v>
      </c>
      <c r="CP2" s="85">
        <v>48396</v>
      </c>
      <c r="CQ2" s="85">
        <v>48427</v>
      </c>
      <c r="CR2" s="85">
        <v>48458</v>
      </c>
      <c r="CS2" s="85">
        <v>48488</v>
      </c>
      <c r="CT2" s="85">
        <v>48519</v>
      </c>
      <c r="CU2" s="85">
        <v>48549</v>
      </c>
      <c r="CV2" s="85">
        <v>48580</v>
      </c>
      <c r="CW2" s="85">
        <v>48611</v>
      </c>
      <c r="CX2" s="85">
        <v>48639</v>
      </c>
      <c r="CY2" s="85">
        <v>48670</v>
      </c>
      <c r="CZ2" s="85">
        <v>48700</v>
      </c>
      <c r="DA2" s="85">
        <v>48731</v>
      </c>
      <c r="DB2" s="85">
        <v>48761</v>
      </c>
      <c r="DC2" s="85">
        <v>48792</v>
      </c>
      <c r="DD2" s="85">
        <v>48823</v>
      </c>
      <c r="DE2" s="85">
        <v>48853</v>
      </c>
      <c r="DF2" s="85">
        <v>48884</v>
      </c>
      <c r="DG2" s="85">
        <v>48914</v>
      </c>
      <c r="DH2" s="85">
        <v>48945</v>
      </c>
      <c r="DI2" s="85">
        <v>48976</v>
      </c>
      <c r="DJ2" s="85">
        <v>49004</v>
      </c>
      <c r="DK2" s="85">
        <v>49035</v>
      </c>
      <c r="DL2" s="85">
        <v>49065</v>
      </c>
      <c r="DM2" s="85">
        <v>49096</v>
      </c>
      <c r="DN2" s="85">
        <v>49126</v>
      </c>
      <c r="DO2" s="85">
        <v>49157</v>
      </c>
      <c r="DP2" s="85">
        <v>49188</v>
      </c>
      <c r="DQ2" s="85">
        <v>49218</v>
      </c>
      <c r="DR2" s="85">
        <v>49249</v>
      </c>
      <c r="DS2" s="85">
        <v>49279</v>
      </c>
      <c r="DT2" s="85">
        <v>49310</v>
      </c>
      <c r="DU2" s="85">
        <v>49341</v>
      </c>
      <c r="DV2" s="85">
        <v>49369</v>
      </c>
      <c r="DW2" s="85">
        <v>49400</v>
      </c>
      <c r="DX2" s="85">
        <v>49430</v>
      </c>
      <c r="DY2" s="85">
        <v>49461</v>
      </c>
      <c r="DZ2" s="85">
        <v>49491</v>
      </c>
      <c r="EA2" s="85">
        <v>49522</v>
      </c>
      <c r="EB2" s="85">
        <v>49553</v>
      </c>
      <c r="EC2" s="85">
        <v>49583</v>
      </c>
      <c r="ED2" s="85">
        <v>49614</v>
      </c>
      <c r="EE2" s="85">
        <v>49644</v>
      </c>
      <c r="EF2" s="85">
        <v>49675</v>
      </c>
      <c r="EG2" s="85">
        <v>49706</v>
      </c>
      <c r="EH2" s="85">
        <v>49735</v>
      </c>
      <c r="EI2" s="85">
        <v>49766</v>
      </c>
      <c r="EJ2" s="85">
        <v>49796</v>
      </c>
      <c r="EK2" s="85">
        <v>49827</v>
      </c>
      <c r="EL2" s="85">
        <v>49857</v>
      </c>
      <c r="EM2" s="85">
        <v>49888</v>
      </c>
      <c r="EN2" s="85">
        <v>49919</v>
      </c>
      <c r="EO2" s="85">
        <v>49949</v>
      </c>
      <c r="EP2" s="85">
        <v>49980</v>
      </c>
      <c r="EQ2" s="85">
        <v>50010</v>
      </c>
      <c r="ER2" s="85">
        <v>50041</v>
      </c>
      <c r="ES2" s="85">
        <v>50072</v>
      </c>
      <c r="ET2" s="85">
        <v>50100</v>
      </c>
      <c r="EU2" s="85">
        <v>50131</v>
      </c>
      <c r="EV2" s="85">
        <v>50161</v>
      </c>
      <c r="EW2" s="85">
        <v>50192</v>
      </c>
      <c r="EX2" s="85">
        <v>50222</v>
      </c>
      <c r="EY2" s="85">
        <v>50253</v>
      </c>
      <c r="EZ2" s="85">
        <v>50284</v>
      </c>
      <c r="FA2" s="85">
        <v>50314</v>
      </c>
      <c r="FB2" s="85">
        <v>50345</v>
      </c>
      <c r="FC2" s="85">
        <v>50375</v>
      </c>
      <c r="FD2" s="85">
        <v>50406</v>
      </c>
      <c r="FE2" s="85">
        <v>50437</v>
      </c>
      <c r="FF2" s="85">
        <v>50465</v>
      </c>
      <c r="FG2" s="85">
        <v>50496</v>
      </c>
      <c r="FH2" s="85">
        <v>50526</v>
      </c>
      <c r="FI2" s="85">
        <v>50557</v>
      </c>
      <c r="FJ2" s="85">
        <v>50587</v>
      </c>
      <c r="FK2" s="85">
        <v>50618</v>
      </c>
      <c r="FL2" s="85">
        <v>50649</v>
      </c>
      <c r="FM2" s="85">
        <v>50679</v>
      </c>
      <c r="FN2" s="85">
        <v>50710</v>
      </c>
      <c r="FO2" s="85">
        <v>50740</v>
      </c>
    </row>
    <row r="3" spans="1:171">
      <c r="A3" s="87" t="s">
        <v>138</v>
      </c>
      <c r="B3" s="52">
        <v>0</v>
      </c>
      <c r="C3" s="52">
        <f t="shared" ref="C3:J3" si="3">B28</f>
        <v>7840</v>
      </c>
      <c r="D3" s="52">
        <f t="shared" ref="D3:D6" si="4">C28</f>
        <v>15680</v>
      </c>
      <c r="E3" s="52">
        <f t="shared" ref="E3:E6" si="5">D28</f>
        <v>23520</v>
      </c>
      <c r="F3" s="52">
        <f t="shared" ref="F3:F6" si="6">E28</f>
        <v>15680</v>
      </c>
      <c r="G3" s="52">
        <f t="shared" ref="G3:G6" si="7">F28</f>
        <v>7840</v>
      </c>
      <c r="H3" s="52">
        <f t="shared" si="3"/>
        <v>0</v>
      </c>
      <c r="I3" s="52">
        <f t="shared" si="3"/>
        <v>3920</v>
      </c>
      <c r="J3" s="52">
        <f t="shared" si="3"/>
        <v>7840</v>
      </c>
      <c r="K3" s="52">
        <f t="shared" ref="K3:P3" si="8">J28</f>
        <v>11760</v>
      </c>
      <c r="L3" s="52">
        <f t="shared" si="8"/>
        <v>15680</v>
      </c>
      <c r="M3" s="52">
        <f t="shared" si="8"/>
        <v>19600</v>
      </c>
      <c r="N3" s="52">
        <f t="shared" si="8"/>
        <v>23520</v>
      </c>
      <c r="O3" s="52">
        <f t="shared" si="8"/>
        <v>19600</v>
      </c>
      <c r="P3" s="52">
        <f t="shared" si="8"/>
        <v>15680</v>
      </c>
      <c r="Q3" s="52">
        <f t="shared" ref="Q3:AL3" si="9">P28</f>
        <v>11760</v>
      </c>
      <c r="R3" s="52">
        <f t="shared" si="9"/>
        <v>7840</v>
      </c>
      <c r="S3" s="52">
        <f t="shared" si="9"/>
        <v>3920</v>
      </c>
      <c r="T3" s="52">
        <f t="shared" si="9"/>
        <v>0</v>
      </c>
      <c r="U3" s="52">
        <f t="shared" si="9"/>
        <v>3920</v>
      </c>
      <c r="V3" s="52">
        <f t="shared" si="9"/>
        <v>7840</v>
      </c>
      <c r="W3" s="52">
        <f>V28</f>
        <v>11760</v>
      </c>
      <c r="X3" s="52">
        <f t="shared" si="9"/>
        <v>15680</v>
      </c>
      <c r="Y3" s="52">
        <f t="shared" si="9"/>
        <v>19600</v>
      </c>
      <c r="Z3" s="52">
        <f t="shared" si="9"/>
        <v>23520</v>
      </c>
      <c r="AA3" s="52">
        <f t="shared" si="9"/>
        <v>19600</v>
      </c>
      <c r="AB3" s="52">
        <f t="shared" si="9"/>
        <v>15680</v>
      </c>
      <c r="AC3" s="52">
        <f t="shared" si="9"/>
        <v>11760</v>
      </c>
      <c r="AD3" s="52">
        <f t="shared" si="9"/>
        <v>7840</v>
      </c>
      <c r="AE3" s="52">
        <f t="shared" si="9"/>
        <v>3920</v>
      </c>
      <c r="AF3" s="52">
        <f t="shared" si="9"/>
        <v>0</v>
      </c>
      <c r="AG3" s="52">
        <f t="shared" si="9"/>
        <v>3920</v>
      </c>
      <c r="AH3" s="52">
        <f t="shared" si="9"/>
        <v>7840</v>
      </c>
      <c r="AI3" s="52">
        <f t="shared" si="9"/>
        <v>11760</v>
      </c>
      <c r="AJ3" s="52">
        <f t="shared" si="9"/>
        <v>15680</v>
      </c>
      <c r="AK3" s="52">
        <f t="shared" si="9"/>
        <v>19600</v>
      </c>
      <c r="AL3" s="52">
        <f t="shared" si="9"/>
        <v>23520</v>
      </c>
      <c r="AM3" s="52">
        <f t="shared" ref="AM3:CB3" si="10">AL28</f>
        <v>19600</v>
      </c>
      <c r="AN3" s="52">
        <f t="shared" si="10"/>
        <v>15680</v>
      </c>
      <c r="AO3" s="52">
        <f t="shared" si="10"/>
        <v>11760</v>
      </c>
      <c r="AP3" s="52">
        <f t="shared" si="10"/>
        <v>7840</v>
      </c>
      <c r="AQ3" s="52">
        <f t="shared" si="10"/>
        <v>3920</v>
      </c>
      <c r="AR3" s="52">
        <f t="shared" si="10"/>
        <v>0</v>
      </c>
      <c r="AS3" s="52">
        <f t="shared" si="10"/>
        <v>3920</v>
      </c>
      <c r="AT3" s="52">
        <f t="shared" si="10"/>
        <v>7840</v>
      </c>
      <c r="AU3" s="52">
        <f t="shared" si="10"/>
        <v>11760</v>
      </c>
      <c r="AV3" s="52">
        <f t="shared" si="10"/>
        <v>15680</v>
      </c>
      <c r="AW3" s="52">
        <f t="shared" si="10"/>
        <v>19600</v>
      </c>
      <c r="AX3" s="52">
        <f t="shared" si="10"/>
        <v>23520</v>
      </c>
      <c r="AY3" s="52">
        <f t="shared" si="10"/>
        <v>19600</v>
      </c>
      <c r="AZ3" s="52">
        <f t="shared" si="10"/>
        <v>15680</v>
      </c>
      <c r="BA3" s="52">
        <f t="shared" si="10"/>
        <v>11760</v>
      </c>
      <c r="BB3" s="52">
        <f t="shared" si="10"/>
        <v>7840</v>
      </c>
      <c r="BC3" s="52">
        <f t="shared" si="10"/>
        <v>3920</v>
      </c>
      <c r="BD3" s="52">
        <f t="shared" si="10"/>
        <v>0</v>
      </c>
      <c r="BE3" s="52">
        <f t="shared" si="10"/>
        <v>3920</v>
      </c>
      <c r="BF3" s="52">
        <f t="shared" si="10"/>
        <v>7840</v>
      </c>
      <c r="BG3" s="52">
        <f t="shared" si="10"/>
        <v>11760</v>
      </c>
      <c r="BH3" s="52">
        <f t="shared" si="10"/>
        <v>15680</v>
      </c>
      <c r="BI3" s="52">
        <f t="shared" si="10"/>
        <v>19600</v>
      </c>
      <c r="BJ3" s="52">
        <f t="shared" si="10"/>
        <v>23520</v>
      </c>
      <c r="BK3" s="52">
        <f t="shared" si="10"/>
        <v>19600</v>
      </c>
      <c r="BL3" s="52">
        <f t="shared" si="10"/>
        <v>15680</v>
      </c>
      <c r="BM3" s="52">
        <f t="shared" si="10"/>
        <v>11760</v>
      </c>
      <c r="BN3" s="52">
        <f t="shared" si="10"/>
        <v>7840</v>
      </c>
      <c r="BO3" s="52">
        <f t="shared" si="10"/>
        <v>3920</v>
      </c>
      <c r="BP3" s="52">
        <f t="shared" si="10"/>
        <v>0</v>
      </c>
      <c r="BQ3" s="52">
        <f t="shared" si="10"/>
        <v>3920</v>
      </c>
      <c r="BR3" s="52">
        <f t="shared" si="10"/>
        <v>7840</v>
      </c>
      <c r="BS3" s="52">
        <f t="shared" si="10"/>
        <v>11760</v>
      </c>
      <c r="BT3" s="52">
        <f t="shared" si="10"/>
        <v>15680</v>
      </c>
      <c r="BU3" s="52">
        <f t="shared" si="10"/>
        <v>19600</v>
      </c>
      <c r="BV3" s="52">
        <f t="shared" si="10"/>
        <v>23520</v>
      </c>
      <c r="BW3" s="52">
        <f t="shared" si="10"/>
        <v>19600</v>
      </c>
      <c r="BX3" s="52">
        <f t="shared" si="10"/>
        <v>15680</v>
      </c>
      <c r="BY3" s="52">
        <f t="shared" si="10"/>
        <v>11760</v>
      </c>
      <c r="BZ3" s="52">
        <f t="shared" si="10"/>
        <v>7840</v>
      </c>
      <c r="CA3" s="52">
        <f t="shared" si="10"/>
        <v>3920</v>
      </c>
      <c r="CB3" s="52">
        <f t="shared" si="10"/>
        <v>0</v>
      </c>
      <c r="CC3" s="52">
        <f t="shared" ref="CC3:DJ3" si="11">CB28</f>
        <v>3920</v>
      </c>
      <c r="CD3" s="52">
        <f t="shared" si="11"/>
        <v>7840</v>
      </c>
      <c r="CE3" s="52">
        <f t="shared" si="11"/>
        <v>11760</v>
      </c>
      <c r="CF3" s="52">
        <f t="shared" si="11"/>
        <v>15680</v>
      </c>
      <c r="CG3" s="52">
        <f t="shared" si="11"/>
        <v>19600</v>
      </c>
      <c r="CH3" s="52">
        <f t="shared" si="11"/>
        <v>23520</v>
      </c>
      <c r="CI3" s="52">
        <f t="shared" si="11"/>
        <v>19600</v>
      </c>
      <c r="CJ3" s="52">
        <f t="shared" si="11"/>
        <v>15680</v>
      </c>
      <c r="CK3" s="52">
        <f t="shared" si="11"/>
        <v>11760</v>
      </c>
      <c r="CL3" s="52">
        <f t="shared" si="11"/>
        <v>7840</v>
      </c>
      <c r="CM3" s="52">
        <f t="shared" si="11"/>
        <v>3920</v>
      </c>
      <c r="CN3" s="52">
        <f t="shared" si="11"/>
        <v>0</v>
      </c>
      <c r="CO3" s="52">
        <f t="shared" si="11"/>
        <v>3920</v>
      </c>
      <c r="CP3" s="52">
        <f t="shared" si="11"/>
        <v>7840</v>
      </c>
      <c r="CQ3" s="52">
        <f t="shared" si="11"/>
        <v>11760</v>
      </c>
      <c r="CR3" s="52">
        <f t="shared" si="11"/>
        <v>15680</v>
      </c>
      <c r="CS3" s="52">
        <f t="shared" si="11"/>
        <v>19600</v>
      </c>
      <c r="CT3" s="52">
        <f t="shared" si="11"/>
        <v>23520</v>
      </c>
      <c r="CU3" s="52">
        <f t="shared" si="11"/>
        <v>19600</v>
      </c>
      <c r="CV3" s="52">
        <f t="shared" si="11"/>
        <v>15680</v>
      </c>
      <c r="CW3" s="52">
        <f t="shared" si="11"/>
        <v>11760</v>
      </c>
      <c r="CX3" s="52">
        <f t="shared" si="11"/>
        <v>7840</v>
      </c>
      <c r="CY3" s="52">
        <f t="shared" si="11"/>
        <v>3920</v>
      </c>
      <c r="CZ3" s="52">
        <f t="shared" si="11"/>
        <v>0</v>
      </c>
      <c r="DA3" s="52">
        <f t="shared" si="11"/>
        <v>3920</v>
      </c>
      <c r="DB3" s="52">
        <f t="shared" si="11"/>
        <v>7840</v>
      </c>
      <c r="DC3" s="52">
        <f t="shared" si="11"/>
        <v>11760</v>
      </c>
      <c r="DD3" s="52">
        <f t="shared" si="11"/>
        <v>15680</v>
      </c>
      <c r="DE3" s="52">
        <f t="shared" si="11"/>
        <v>19600</v>
      </c>
      <c r="DF3" s="52">
        <f t="shared" si="11"/>
        <v>23520</v>
      </c>
      <c r="DG3" s="52">
        <f t="shared" si="11"/>
        <v>19600</v>
      </c>
      <c r="DH3" s="52">
        <f t="shared" si="11"/>
        <v>15680</v>
      </c>
      <c r="DI3" s="52">
        <f t="shared" si="11"/>
        <v>11760</v>
      </c>
      <c r="DJ3" s="52">
        <f t="shared" si="11"/>
        <v>7840</v>
      </c>
      <c r="DK3" s="52">
        <f t="shared" ref="DK3:EP3" si="12">DJ28</f>
        <v>3920</v>
      </c>
      <c r="DL3" s="52">
        <f t="shared" si="12"/>
        <v>0</v>
      </c>
      <c r="DM3" s="52">
        <f t="shared" si="12"/>
        <v>3920</v>
      </c>
      <c r="DN3" s="52">
        <f t="shared" si="12"/>
        <v>7840</v>
      </c>
      <c r="DO3" s="52">
        <f t="shared" si="12"/>
        <v>11760</v>
      </c>
      <c r="DP3" s="52">
        <f t="shared" si="12"/>
        <v>15680</v>
      </c>
      <c r="DQ3" s="52">
        <f t="shared" si="12"/>
        <v>19600</v>
      </c>
      <c r="DR3" s="52">
        <f t="shared" si="12"/>
        <v>23520</v>
      </c>
      <c r="DS3" s="52">
        <f t="shared" si="12"/>
        <v>19600</v>
      </c>
      <c r="DT3" s="52">
        <f t="shared" si="12"/>
        <v>15680</v>
      </c>
      <c r="DU3" s="52">
        <f t="shared" si="12"/>
        <v>11760</v>
      </c>
      <c r="DV3" s="52">
        <f t="shared" si="12"/>
        <v>7840</v>
      </c>
      <c r="DW3" s="52">
        <f t="shared" si="12"/>
        <v>3920</v>
      </c>
      <c r="DX3" s="52">
        <f t="shared" si="12"/>
        <v>0</v>
      </c>
      <c r="DY3" s="52">
        <f t="shared" si="12"/>
        <v>3920</v>
      </c>
      <c r="DZ3" s="52">
        <f t="shared" si="12"/>
        <v>7840</v>
      </c>
      <c r="EA3" s="52">
        <f t="shared" si="12"/>
        <v>11760</v>
      </c>
      <c r="EB3" s="52">
        <f t="shared" si="12"/>
        <v>15680</v>
      </c>
      <c r="EC3" s="52">
        <f t="shared" si="12"/>
        <v>19600</v>
      </c>
      <c r="ED3" s="52">
        <f t="shared" si="12"/>
        <v>23520</v>
      </c>
      <c r="EE3" s="52">
        <f t="shared" si="12"/>
        <v>19600</v>
      </c>
      <c r="EF3" s="52">
        <f t="shared" si="12"/>
        <v>15680</v>
      </c>
      <c r="EG3" s="52">
        <f t="shared" si="12"/>
        <v>11760</v>
      </c>
      <c r="EH3" s="52">
        <f t="shared" si="12"/>
        <v>7840</v>
      </c>
      <c r="EI3" s="52">
        <f t="shared" si="12"/>
        <v>3920</v>
      </c>
      <c r="EJ3" s="52">
        <f t="shared" si="12"/>
        <v>0</v>
      </c>
      <c r="EK3" s="52">
        <f t="shared" si="12"/>
        <v>3920</v>
      </c>
      <c r="EL3" s="52">
        <f t="shared" si="12"/>
        <v>7840</v>
      </c>
      <c r="EM3" s="52">
        <f t="shared" si="12"/>
        <v>11760</v>
      </c>
      <c r="EN3" s="52">
        <f t="shared" si="12"/>
        <v>15680</v>
      </c>
      <c r="EO3" s="52">
        <f t="shared" si="12"/>
        <v>19600</v>
      </c>
      <c r="EP3" s="52">
        <f t="shared" si="12"/>
        <v>23520</v>
      </c>
      <c r="EQ3" s="52">
        <f t="shared" ref="EQ3:FO3" si="13">EP28</f>
        <v>19600</v>
      </c>
      <c r="ER3" s="52">
        <f t="shared" si="13"/>
        <v>15680</v>
      </c>
      <c r="ES3" s="52">
        <f t="shared" si="13"/>
        <v>11760</v>
      </c>
      <c r="ET3" s="52">
        <f t="shared" si="13"/>
        <v>7840</v>
      </c>
      <c r="EU3" s="52">
        <f t="shared" si="13"/>
        <v>3920</v>
      </c>
      <c r="EV3" s="52">
        <f t="shared" si="13"/>
        <v>0</v>
      </c>
      <c r="EW3" s="52">
        <f t="shared" si="13"/>
        <v>3920</v>
      </c>
      <c r="EX3" s="52">
        <f t="shared" si="13"/>
        <v>7840</v>
      </c>
      <c r="EY3" s="52">
        <f t="shared" si="13"/>
        <v>11760</v>
      </c>
      <c r="EZ3" s="52">
        <f t="shared" si="13"/>
        <v>15680</v>
      </c>
      <c r="FA3" s="52">
        <f t="shared" si="13"/>
        <v>19600</v>
      </c>
      <c r="FB3" s="52">
        <f t="shared" si="13"/>
        <v>23520</v>
      </c>
      <c r="FC3" s="52">
        <f t="shared" si="13"/>
        <v>19600</v>
      </c>
      <c r="FD3" s="52">
        <f t="shared" si="13"/>
        <v>15680</v>
      </c>
      <c r="FE3" s="52">
        <f t="shared" si="13"/>
        <v>11760</v>
      </c>
      <c r="FF3" s="52">
        <f t="shared" si="13"/>
        <v>7840</v>
      </c>
      <c r="FG3" s="52">
        <f t="shared" si="13"/>
        <v>3920</v>
      </c>
      <c r="FH3" s="52">
        <f t="shared" si="13"/>
        <v>0</v>
      </c>
      <c r="FI3" s="52">
        <f t="shared" si="13"/>
        <v>3920</v>
      </c>
      <c r="FJ3" s="52">
        <f t="shared" si="13"/>
        <v>7840</v>
      </c>
      <c r="FK3" s="52">
        <f t="shared" si="13"/>
        <v>11760</v>
      </c>
      <c r="FL3" s="52">
        <f t="shared" si="13"/>
        <v>15680</v>
      </c>
      <c r="FM3" s="52">
        <f t="shared" si="13"/>
        <v>19600</v>
      </c>
      <c r="FN3" s="52">
        <f t="shared" si="13"/>
        <v>23520</v>
      </c>
      <c r="FO3" s="52">
        <f t="shared" si="13"/>
        <v>19600</v>
      </c>
    </row>
    <row r="4" spans="1:171">
      <c r="A4" s="87" t="s">
        <v>139</v>
      </c>
      <c r="B4" s="52">
        <v>0</v>
      </c>
      <c r="C4" s="52">
        <f t="shared" ref="C4:C6" si="14">B29</f>
        <v>2090.666666666667</v>
      </c>
      <c r="D4" s="52">
        <f t="shared" si="4"/>
        <v>4181.333333333333</v>
      </c>
      <c r="E4" s="52">
        <f t="shared" si="5"/>
        <v>6271.9999999999991</v>
      </c>
      <c r="F4" s="52">
        <f t="shared" si="6"/>
        <v>4181.3333333333321</v>
      </c>
      <c r="G4" s="52">
        <f t="shared" si="7"/>
        <v>2090.6666666666656</v>
      </c>
      <c r="H4" s="52">
        <f t="shared" ref="H4:I6" si="15">G29</f>
        <v>0</v>
      </c>
      <c r="I4" s="52">
        <f t="shared" si="15"/>
        <v>1045.3333333333335</v>
      </c>
      <c r="J4" s="52">
        <f t="shared" ref="J4:P4" si="16">I29</f>
        <v>2090.6666666666665</v>
      </c>
      <c r="K4" s="52">
        <f t="shared" si="16"/>
        <v>3135.9999999999995</v>
      </c>
      <c r="L4" s="52">
        <f t="shared" si="16"/>
        <v>4181.333333333333</v>
      </c>
      <c r="M4" s="52">
        <f t="shared" si="16"/>
        <v>5226.666666666667</v>
      </c>
      <c r="N4" s="52">
        <f t="shared" si="16"/>
        <v>6272.0000000000009</v>
      </c>
      <c r="O4" s="52">
        <f t="shared" si="16"/>
        <v>5226.6666666666679</v>
      </c>
      <c r="P4" s="52">
        <f t="shared" si="16"/>
        <v>4181.3333333333339</v>
      </c>
      <c r="Q4" s="52">
        <f t="shared" ref="Q4:AL4" si="17">P29</f>
        <v>3136.0000000000005</v>
      </c>
      <c r="R4" s="52">
        <f t="shared" si="17"/>
        <v>2090.666666666667</v>
      </c>
      <c r="S4" s="52">
        <f t="shared" si="17"/>
        <v>1045.3333333333335</v>
      </c>
      <c r="T4" s="52">
        <f t="shared" si="17"/>
        <v>0</v>
      </c>
      <c r="U4" s="52">
        <f t="shared" si="17"/>
        <v>1045.3333333333335</v>
      </c>
      <c r="V4" s="52">
        <f t="shared" si="17"/>
        <v>2090.6666666666665</v>
      </c>
      <c r="W4" s="52">
        <f t="shared" si="17"/>
        <v>3135.9999999999995</v>
      </c>
      <c r="X4" s="52">
        <f t="shared" si="17"/>
        <v>4181.333333333333</v>
      </c>
      <c r="Y4" s="52">
        <f t="shared" si="17"/>
        <v>5226.666666666667</v>
      </c>
      <c r="Z4" s="52">
        <f t="shared" si="17"/>
        <v>6272.0000000000009</v>
      </c>
      <c r="AA4" s="52">
        <f t="shared" si="17"/>
        <v>5226.6666666666679</v>
      </c>
      <c r="AB4" s="52">
        <f t="shared" si="17"/>
        <v>4181.3333333333339</v>
      </c>
      <c r="AC4" s="52">
        <f t="shared" si="17"/>
        <v>3136.0000000000005</v>
      </c>
      <c r="AD4" s="52">
        <f t="shared" si="17"/>
        <v>2090.666666666667</v>
      </c>
      <c r="AE4" s="52">
        <f t="shared" si="17"/>
        <v>1045.3333333333335</v>
      </c>
      <c r="AF4" s="52">
        <f t="shared" si="17"/>
        <v>0</v>
      </c>
      <c r="AG4" s="52">
        <f t="shared" si="17"/>
        <v>1045.3333333333335</v>
      </c>
      <c r="AH4" s="52">
        <f t="shared" si="17"/>
        <v>2090.6666666666665</v>
      </c>
      <c r="AI4" s="52">
        <f t="shared" si="17"/>
        <v>3135.9999999999995</v>
      </c>
      <c r="AJ4" s="52">
        <f t="shared" si="17"/>
        <v>4181.333333333333</v>
      </c>
      <c r="AK4" s="52">
        <f t="shared" si="17"/>
        <v>5226.666666666667</v>
      </c>
      <c r="AL4" s="52">
        <f t="shared" si="17"/>
        <v>6272.0000000000009</v>
      </c>
      <c r="AM4" s="52">
        <f t="shared" ref="AM4:CB4" si="18">AL29</f>
        <v>5226.6666666666679</v>
      </c>
      <c r="AN4" s="52">
        <f t="shared" si="18"/>
        <v>4181.3333333333339</v>
      </c>
      <c r="AO4" s="52">
        <f t="shared" si="18"/>
        <v>3136.0000000000005</v>
      </c>
      <c r="AP4" s="52">
        <f t="shared" si="18"/>
        <v>2090.666666666667</v>
      </c>
      <c r="AQ4" s="52">
        <f t="shared" si="18"/>
        <v>1045.3333333333335</v>
      </c>
      <c r="AR4" s="52">
        <f t="shared" si="18"/>
        <v>0</v>
      </c>
      <c r="AS4" s="52">
        <f t="shared" si="18"/>
        <v>1045.3333333333335</v>
      </c>
      <c r="AT4" s="52">
        <f t="shared" si="18"/>
        <v>2090.6666666666665</v>
      </c>
      <c r="AU4" s="52">
        <f t="shared" si="18"/>
        <v>3135.9999999999995</v>
      </c>
      <c r="AV4" s="52">
        <f t="shared" si="18"/>
        <v>4181.333333333333</v>
      </c>
      <c r="AW4" s="52">
        <f t="shared" si="18"/>
        <v>5226.666666666667</v>
      </c>
      <c r="AX4" s="52">
        <f t="shared" si="18"/>
        <v>6272.0000000000009</v>
      </c>
      <c r="AY4" s="52">
        <f t="shared" si="18"/>
        <v>5226.6666666666679</v>
      </c>
      <c r="AZ4" s="52">
        <f t="shared" si="18"/>
        <v>4181.3333333333339</v>
      </c>
      <c r="BA4" s="52">
        <f t="shared" si="18"/>
        <v>3136.0000000000005</v>
      </c>
      <c r="BB4" s="52">
        <f t="shared" si="18"/>
        <v>2090.666666666667</v>
      </c>
      <c r="BC4" s="52">
        <f t="shared" si="18"/>
        <v>1045.3333333333335</v>
      </c>
      <c r="BD4" s="52">
        <f t="shared" si="18"/>
        <v>0</v>
      </c>
      <c r="BE4" s="52">
        <f t="shared" si="18"/>
        <v>1045.3333333333335</v>
      </c>
      <c r="BF4" s="52">
        <f t="shared" si="18"/>
        <v>2090.6666666666665</v>
      </c>
      <c r="BG4" s="52">
        <f t="shared" si="18"/>
        <v>3135.9999999999995</v>
      </c>
      <c r="BH4" s="52">
        <f t="shared" si="18"/>
        <v>4181.333333333333</v>
      </c>
      <c r="BI4" s="52">
        <f t="shared" si="18"/>
        <v>5226.666666666667</v>
      </c>
      <c r="BJ4" s="52">
        <f t="shared" si="18"/>
        <v>6272.0000000000009</v>
      </c>
      <c r="BK4" s="52">
        <f t="shared" si="18"/>
        <v>5226.6666666666679</v>
      </c>
      <c r="BL4" s="52">
        <f t="shared" si="18"/>
        <v>4181.3333333333339</v>
      </c>
      <c r="BM4" s="52">
        <f t="shared" si="18"/>
        <v>3136.0000000000005</v>
      </c>
      <c r="BN4" s="52">
        <f t="shared" si="18"/>
        <v>2090.666666666667</v>
      </c>
      <c r="BO4" s="52">
        <f t="shared" si="18"/>
        <v>1045.3333333333335</v>
      </c>
      <c r="BP4" s="52">
        <f t="shared" si="18"/>
        <v>0</v>
      </c>
      <c r="BQ4" s="52">
        <f t="shared" si="18"/>
        <v>1045.3333333333335</v>
      </c>
      <c r="BR4" s="52">
        <f t="shared" si="18"/>
        <v>2090.6666666666665</v>
      </c>
      <c r="BS4" s="52">
        <f t="shared" si="18"/>
        <v>3135.9999999999995</v>
      </c>
      <c r="BT4" s="52">
        <f t="shared" si="18"/>
        <v>4181.333333333333</v>
      </c>
      <c r="BU4" s="52">
        <f t="shared" si="18"/>
        <v>5226.666666666667</v>
      </c>
      <c r="BV4" s="52">
        <f t="shared" si="18"/>
        <v>6272.0000000000009</v>
      </c>
      <c r="BW4" s="52">
        <f t="shared" si="18"/>
        <v>5226.6666666666679</v>
      </c>
      <c r="BX4" s="52">
        <f t="shared" si="18"/>
        <v>4181.3333333333339</v>
      </c>
      <c r="BY4" s="52">
        <f t="shared" si="18"/>
        <v>3136.0000000000005</v>
      </c>
      <c r="BZ4" s="52">
        <f t="shared" si="18"/>
        <v>2090.666666666667</v>
      </c>
      <c r="CA4" s="52">
        <f t="shared" si="18"/>
        <v>1045.3333333333335</v>
      </c>
      <c r="CB4" s="52">
        <f t="shared" si="18"/>
        <v>0</v>
      </c>
      <c r="CC4" s="52">
        <f t="shared" ref="CC4:DJ4" si="19">CB29</f>
        <v>1045.3333333333335</v>
      </c>
      <c r="CD4" s="52">
        <f t="shared" si="19"/>
        <v>2090.6666666666665</v>
      </c>
      <c r="CE4" s="52">
        <f t="shared" si="19"/>
        <v>3135.9999999999995</v>
      </c>
      <c r="CF4" s="52">
        <f t="shared" si="19"/>
        <v>4181.333333333333</v>
      </c>
      <c r="CG4" s="52">
        <f t="shared" si="19"/>
        <v>5226.666666666667</v>
      </c>
      <c r="CH4" s="52">
        <f t="shared" si="19"/>
        <v>6272.0000000000009</v>
      </c>
      <c r="CI4" s="52">
        <f t="shared" si="19"/>
        <v>5226.6666666666679</v>
      </c>
      <c r="CJ4" s="52">
        <f t="shared" si="19"/>
        <v>4181.3333333333339</v>
      </c>
      <c r="CK4" s="52">
        <f t="shared" si="19"/>
        <v>3136.0000000000005</v>
      </c>
      <c r="CL4" s="52">
        <f t="shared" si="19"/>
        <v>2090.666666666667</v>
      </c>
      <c r="CM4" s="52">
        <f t="shared" si="19"/>
        <v>1045.3333333333335</v>
      </c>
      <c r="CN4" s="52">
        <f t="shared" si="19"/>
        <v>0</v>
      </c>
      <c r="CO4" s="52">
        <f t="shared" si="19"/>
        <v>1045.3333333333335</v>
      </c>
      <c r="CP4" s="52">
        <f t="shared" si="19"/>
        <v>2090.6666666666665</v>
      </c>
      <c r="CQ4" s="52">
        <f t="shared" si="19"/>
        <v>3135.9999999999995</v>
      </c>
      <c r="CR4" s="52">
        <f t="shared" si="19"/>
        <v>4181.333333333333</v>
      </c>
      <c r="CS4" s="52">
        <f t="shared" si="19"/>
        <v>5226.666666666667</v>
      </c>
      <c r="CT4" s="52">
        <f t="shared" si="19"/>
        <v>6272.0000000000009</v>
      </c>
      <c r="CU4" s="52">
        <f t="shared" si="19"/>
        <v>5226.6666666666679</v>
      </c>
      <c r="CV4" s="52">
        <f t="shared" si="19"/>
        <v>4181.3333333333339</v>
      </c>
      <c r="CW4" s="52">
        <f t="shared" si="19"/>
        <v>3136.0000000000005</v>
      </c>
      <c r="CX4" s="52">
        <f t="shared" si="19"/>
        <v>2090.666666666667</v>
      </c>
      <c r="CY4" s="52">
        <f t="shared" si="19"/>
        <v>1045.3333333333335</v>
      </c>
      <c r="CZ4" s="52">
        <f t="shared" si="19"/>
        <v>0</v>
      </c>
      <c r="DA4" s="52">
        <f t="shared" si="19"/>
        <v>1045.3333333333335</v>
      </c>
      <c r="DB4" s="52">
        <f t="shared" si="19"/>
        <v>2090.6666666666665</v>
      </c>
      <c r="DC4" s="52">
        <f t="shared" si="19"/>
        <v>3135.9999999999995</v>
      </c>
      <c r="DD4" s="52">
        <f t="shared" si="19"/>
        <v>4181.333333333333</v>
      </c>
      <c r="DE4" s="52">
        <f t="shared" si="19"/>
        <v>5226.666666666667</v>
      </c>
      <c r="DF4" s="52">
        <f t="shared" si="19"/>
        <v>6272.0000000000009</v>
      </c>
      <c r="DG4" s="52">
        <f t="shared" si="19"/>
        <v>5226.6666666666679</v>
      </c>
      <c r="DH4" s="52">
        <f t="shared" si="19"/>
        <v>4181.3333333333339</v>
      </c>
      <c r="DI4" s="52">
        <f t="shared" si="19"/>
        <v>3136.0000000000005</v>
      </c>
      <c r="DJ4" s="52">
        <f t="shared" si="19"/>
        <v>2090.666666666667</v>
      </c>
      <c r="DK4" s="52">
        <f t="shared" ref="DK4:EP4" si="20">DJ29</f>
        <v>1045.3333333333335</v>
      </c>
      <c r="DL4" s="52">
        <f t="shared" si="20"/>
        <v>0</v>
      </c>
      <c r="DM4" s="52">
        <f t="shared" si="20"/>
        <v>1045.3333333333335</v>
      </c>
      <c r="DN4" s="52">
        <f t="shared" si="20"/>
        <v>2090.6666666666665</v>
      </c>
      <c r="DO4" s="52">
        <f t="shared" si="20"/>
        <v>3135.9999999999995</v>
      </c>
      <c r="DP4" s="52">
        <f t="shared" si="20"/>
        <v>4181.333333333333</v>
      </c>
      <c r="DQ4" s="52">
        <f t="shared" si="20"/>
        <v>5226.666666666667</v>
      </c>
      <c r="DR4" s="52">
        <f t="shared" si="20"/>
        <v>6272.0000000000009</v>
      </c>
      <c r="DS4" s="52">
        <f t="shared" si="20"/>
        <v>5226.6666666666679</v>
      </c>
      <c r="DT4" s="52">
        <f t="shared" si="20"/>
        <v>4181.3333333333339</v>
      </c>
      <c r="DU4" s="52">
        <f t="shared" si="20"/>
        <v>3136.0000000000005</v>
      </c>
      <c r="DV4" s="52">
        <f t="shared" si="20"/>
        <v>2090.666666666667</v>
      </c>
      <c r="DW4" s="52">
        <f t="shared" si="20"/>
        <v>1045.3333333333335</v>
      </c>
      <c r="DX4" s="52">
        <f t="shared" si="20"/>
        <v>0</v>
      </c>
      <c r="DY4" s="52">
        <f t="shared" si="20"/>
        <v>1045.3333333333335</v>
      </c>
      <c r="DZ4" s="52">
        <f t="shared" si="20"/>
        <v>2090.6666666666665</v>
      </c>
      <c r="EA4" s="52">
        <f t="shared" si="20"/>
        <v>3135.9999999999995</v>
      </c>
      <c r="EB4" s="52">
        <f t="shared" si="20"/>
        <v>4181.333333333333</v>
      </c>
      <c r="EC4" s="52">
        <f t="shared" si="20"/>
        <v>5226.666666666667</v>
      </c>
      <c r="ED4" s="52">
        <f t="shared" si="20"/>
        <v>6272.0000000000009</v>
      </c>
      <c r="EE4" s="52">
        <f t="shared" si="20"/>
        <v>5226.6666666666679</v>
      </c>
      <c r="EF4" s="52">
        <f t="shared" si="20"/>
        <v>4181.3333333333339</v>
      </c>
      <c r="EG4" s="52">
        <f t="shared" si="20"/>
        <v>3136.0000000000005</v>
      </c>
      <c r="EH4" s="52">
        <f t="shared" si="20"/>
        <v>2090.666666666667</v>
      </c>
      <c r="EI4" s="52">
        <f t="shared" si="20"/>
        <v>1045.3333333333335</v>
      </c>
      <c r="EJ4" s="52">
        <f t="shared" si="20"/>
        <v>0</v>
      </c>
      <c r="EK4" s="52">
        <f t="shared" si="20"/>
        <v>1045.3333333333335</v>
      </c>
      <c r="EL4" s="52">
        <f t="shared" si="20"/>
        <v>2090.6666666666665</v>
      </c>
      <c r="EM4" s="52">
        <f t="shared" si="20"/>
        <v>3135.9999999999995</v>
      </c>
      <c r="EN4" s="52">
        <f t="shared" si="20"/>
        <v>4181.333333333333</v>
      </c>
      <c r="EO4" s="52">
        <f t="shared" si="20"/>
        <v>5226.666666666667</v>
      </c>
      <c r="EP4" s="52">
        <f t="shared" si="20"/>
        <v>6272.0000000000009</v>
      </c>
      <c r="EQ4" s="52">
        <f t="shared" ref="EQ4:FO4" si="21">EP29</f>
        <v>5226.6666666666679</v>
      </c>
      <c r="ER4" s="52">
        <f t="shared" si="21"/>
        <v>4181.3333333333339</v>
      </c>
      <c r="ES4" s="52">
        <f t="shared" si="21"/>
        <v>3136.0000000000005</v>
      </c>
      <c r="ET4" s="52">
        <f t="shared" si="21"/>
        <v>2090.666666666667</v>
      </c>
      <c r="EU4" s="52">
        <f t="shared" si="21"/>
        <v>1045.3333333333335</v>
      </c>
      <c r="EV4" s="52">
        <f t="shared" si="21"/>
        <v>0</v>
      </c>
      <c r="EW4" s="52">
        <f t="shared" si="21"/>
        <v>1045.3333333333335</v>
      </c>
      <c r="EX4" s="52">
        <f t="shared" si="21"/>
        <v>2090.6666666666665</v>
      </c>
      <c r="EY4" s="52">
        <f t="shared" si="21"/>
        <v>3135.9999999999995</v>
      </c>
      <c r="EZ4" s="52">
        <f t="shared" si="21"/>
        <v>4181.333333333333</v>
      </c>
      <c r="FA4" s="52">
        <f t="shared" si="21"/>
        <v>5226.666666666667</v>
      </c>
      <c r="FB4" s="52">
        <f t="shared" si="21"/>
        <v>6272.0000000000009</v>
      </c>
      <c r="FC4" s="52">
        <f t="shared" si="21"/>
        <v>5226.6666666666679</v>
      </c>
      <c r="FD4" s="52">
        <f t="shared" si="21"/>
        <v>4181.3333333333339</v>
      </c>
      <c r="FE4" s="52">
        <f t="shared" si="21"/>
        <v>3136.0000000000005</v>
      </c>
      <c r="FF4" s="52">
        <f t="shared" si="21"/>
        <v>2090.666666666667</v>
      </c>
      <c r="FG4" s="52">
        <f t="shared" si="21"/>
        <v>1045.3333333333335</v>
      </c>
      <c r="FH4" s="52">
        <f t="shared" si="21"/>
        <v>0</v>
      </c>
      <c r="FI4" s="52">
        <f t="shared" si="21"/>
        <v>1045.3333333333335</v>
      </c>
      <c r="FJ4" s="52">
        <f t="shared" si="21"/>
        <v>2090.6666666666665</v>
      </c>
      <c r="FK4" s="52">
        <f t="shared" si="21"/>
        <v>3135.9999999999995</v>
      </c>
      <c r="FL4" s="52">
        <f t="shared" si="21"/>
        <v>4181.333333333333</v>
      </c>
      <c r="FM4" s="52">
        <f t="shared" si="21"/>
        <v>5226.666666666667</v>
      </c>
      <c r="FN4" s="52">
        <f t="shared" si="21"/>
        <v>6272.0000000000009</v>
      </c>
      <c r="FO4" s="52">
        <f t="shared" si="21"/>
        <v>5226.6666666666679</v>
      </c>
    </row>
    <row r="5" spans="1:171">
      <c r="A5" s="87" t="s">
        <v>140</v>
      </c>
      <c r="B5" s="52">
        <v>0</v>
      </c>
      <c r="C5" s="52">
        <f t="shared" si="14"/>
        <v>2090.666666666667</v>
      </c>
      <c r="D5" s="52">
        <f t="shared" si="4"/>
        <v>4181.333333333333</v>
      </c>
      <c r="E5" s="52">
        <f t="shared" si="5"/>
        <v>6271.9999999999991</v>
      </c>
      <c r="F5" s="52">
        <f t="shared" si="6"/>
        <v>4181.3333333333321</v>
      </c>
      <c r="G5" s="52">
        <f t="shared" si="7"/>
        <v>2090.6666666666656</v>
      </c>
      <c r="H5" s="52">
        <f t="shared" si="15"/>
        <v>0</v>
      </c>
      <c r="I5" s="52">
        <f t="shared" si="15"/>
        <v>1045.3333333333335</v>
      </c>
      <c r="J5" s="52">
        <f t="shared" ref="J5:P5" si="22">I30</f>
        <v>2090.6666666666665</v>
      </c>
      <c r="K5" s="52">
        <f t="shared" si="22"/>
        <v>3135.9999999999995</v>
      </c>
      <c r="L5" s="52">
        <f t="shared" si="22"/>
        <v>4181.333333333333</v>
      </c>
      <c r="M5" s="52">
        <f t="shared" si="22"/>
        <v>5226.666666666667</v>
      </c>
      <c r="N5" s="52">
        <f t="shared" si="22"/>
        <v>6272.0000000000009</v>
      </c>
      <c r="O5" s="52">
        <f t="shared" si="22"/>
        <v>5226.6666666666679</v>
      </c>
      <c r="P5" s="52">
        <f t="shared" si="22"/>
        <v>4181.3333333333339</v>
      </c>
      <c r="Q5" s="52">
        <f t="shared" ref="Q5:AL5" si="23">P30</f>
        <v>3136.0000000000005</v>
      </c>
      <c r="R5" s="52">
        <f t="shared" si="23"/>
        <v>2090.666666666667</v>
      </c>
      <c r="S5" s="52">
        <f t="shared" si="23"/>
        <v>1045.3333333333335</v>
      </c>
      <c r="T5" s="52">
        <f t="shared" si="23"/>
        <v>0</v>
      </c>
      <c r="U5" s="52">
        <f t="shared" si="23"/>
        <v>1045.3333333333335</v>
      </c>
      <c r="V5" s="52">
        <f t="shared" si="23"/>
        <v>2090.6666666666665</v>
      </c>
      <c r="W5" s="52">
        <f t="shared" si="23"/>
        <v>3135.9999999999995</v>
      </c>
      <c r="X5" s="52">
        <f t="shared" si="23"/>
        <v>4181.333333333333</v>
      </c>
      <c r="Y5" s="52">
        <f t="shared" si="23"/>
        <v>5226.666666666667</v>
      </c>
      <c r="Z5" s="52">
        <f t="shared" si="23"/>
        <v>6272.0000000000009</v>
      </c>
      <c r="AA5" s="52">
        <f t="shared" si="23"/>
        <v>5226.6666666666679</v>
      </c>
      <c r="AB5" s="52">
        <f t="shared" si="23"/>
        <v>4181.3333333333339</v>
      </c>
      <c r="AC5" s="52">
        <f t="shared" si="23"/>
        <v>3136.0000000000005</v>
      </c>
      <c r="AD5" s="52">
        <f t="shared" si="23"/>
        <v>2090.666666666667</v>
      </c>
      <c r="AE5" s="52">
        <f t="shared" si="23"/>
        <v>1045.3333333333335</v>
      </c>
      <c r="AF5" s="52">
        <f t="shared" si="23"/>
        <v>0</v>
      </c>
      <c r="AG5" s="52">
        <f t="shared" si="23"/>
        <v>1045.3333333333335</v>
      </c>
      <c r="AH5" s="52">
        <f t="shared" si="23"/>
        <v>2090.6666666666665</v>
      </c>
      <c r="AI5" s="52">
        <f t="shared" si="23"/>
        <v>3135.9999999999995</v>
      </c>
      <c r="AJ5" s="52">
        <f t="shared" si="23"/>
        <v>4181.333333333333</v>
      </c>
      <c r="AK5" s="52">
        <f t="shared" si="23"/>
        <v>5226.666666666667</v>
      </c>
      <c r="AL5" s="52">
        <f t="shared" si="23"/>
        <v>6272.0000000000009</v>
      </c>
      <c r="AM5" s="52">
        <f t="shared" ref="AM5:CB5" si="24">AL30</f>
        <v>5226.6666666666679</v>
      </c>
      <c r="AN5" s="52">
        <f t="shared" si="24"/>
        <v>4181.3333333333339</v>
      </c>
      <c r="AO5" s="52">
        <f t="shared" si="24"/>
        <v>3136.0000000000005</v>
      </c>
      <c r="AP5" s="52">
        <f t="shared" si="24"/>
        <v>2090.666666666667</v>
      </c>
      <c r="AQ5" s="52">
        <f t="shared" si="24"/>
        <v>1045.3333333333335</v>
      </c>
      <c r="AR5" s="52">
        <f t="shared" si="24"/>
        <v>0</v>
      </c>
      <c r="AS5" s="52">
        <f t="shared" si="24"/>
        <v>1045.3333333333335</v>
      </c>
      <c r="AT5" s="52">
        <f t="shared" si="24"/>
        <v>2090.6666666666665</v>
      </c>
      <c r="AU5" s="52">
        <f t="shared" si="24"/>
        <v>3135.9999999999995</v>
      </c>
      <c r="AV5" s="52">
        <f t="shared" si="24"/>
        <v>4181.333333333333</v>
      </c>
      <c r="AW5" s="52">
        <f t="shared" si="24"/>
        <v>5226.666666666667</v>
      </c>
      <c r="AX5" s="52">
        <f t="shared" si="24"/>
        <v>6272.0000000000009</v>
      </c>
      <c r="AY5" s="52">
        <f t="shared" si="24"/>
        <v>5226.6666666666679</v>
      </c>
      <c r="AZ5" s="52">
        <f t="shared" si="24"/>
        <v>4181.3333333333339</v>
      </c>
      <c r="BA5" s="52">
        <f t="shared" si="24"/>
        <v>3136.0000000000005</v>
      </c>
      <c r="BB5" s="52">
        <f t="shared" si="24"/>
        <v>2090.666666666667</v>
      </c>
      <c r="BC5" s="52">
        <f t="shared" si="24"/>
        <v>1045.3333333333335</v>
      </c>
      <c r="BD5" s="52">
        <f t="shared" si="24"/>
        <v>0</v>
      </c>
      <c r="BE5" s="52">
        <f t="shared" si="24"/>
        <v>1045.3333333333335</v>
      </c>
      <c r="BF5" s="52">
        <f t="shared" si="24"/>
        <v>2090.6666666666665</v>
      </c>
      <c r="BG5" s="52">
        <f t="shared" si="24"/>
        <v>3135.9999999999995</v>
      </c>
      <c r="BH5" s="52">
        <f t="shared" si="24"/>
        <v>4181.333333333333</v>
      </c>
      <c r="BI5" s="52">
        <f t="shared" si="24"/>
        <v>5226.666666666667</v>
      </c>
      <c r="BJ5" s="52">
        <f t="shared" si="24"/>
        <v>6272.0000000000009</v>
      </c>
      <c r="BK5" s="52">
        <f t="shared" si="24"/>
        <v>5226.6666666666679</v>
      </c>
      <c r="BL5" s="52">
        <f t="shared" si="24"/>
        <v>4181.3333333333339</v>
      </c>
      <c r="BM5" s="52">
        <f t="shared" si="24"/>
        <v>3136.0000000000005</v>
      </c>
      <c r="BN5" s="52">
        <f t="shared" si="24"/>
        <v>2090.666666666667</v>
      </c>
      <c r="BO5" s="52">
        <f t="shared" si="24"/>
        <v>1045.3333333333335</v>
      </c>
      <c r="BP5" s="52">
        <f t="shared" si="24"/>
        <v>0</v>
      </c>
      <c r="BQ5" s="52">
        <f t="shared" si="24"/>
        <v>1045.3333333333335</v>
      </c>
      <c r="BR5" s="52">
        <f t="shared" si="24"/>
        <v>2090.6666666666665</v>
      </c>
      <c r="BS5" s="52">
        <f t="shared" si="24"/>
        <v>3135.9999999999995</v>
      </c>
      <c r="BT5" s="52">
        <f t="shared" si="24"/>
        <v>4181.333333333333</v>
      </c>
      <c r="BU5" s="52">
        <f t="shared" si="24"/>
        <v>5226.666666666667</v>
      </c>
      <c r="BV5" s="52">
        <f t="shared" si="24"/>
        <v>6272.0000000000009</v>
      </c>
      <c r="BW5" s="52">
        <f t="shared" si="24"/>
        <v>5226.6666666666679</v>
      </c>
      <c r="BX5" s="52">
        <f t="shared" si="24"/>
        <v>4181.3333333333339</v>
      </c>
      <c r="BY5" s="52">
        <f t="shared" si="24"/>
        <v>3136.0000000000005</v>
      </c>
      <c r="BZ5" s="52">
        <f t="shared" si="24"/>
        <v>2090.666666666667</v>
      </c>
      <c r="CA5" s="52">
        <f t="shared" si="24"/>
        <v>1045.3333333333335</v>
      </c>
      <c r="CB5" s="52">
        <f t="shared" si="24"/>
        <v>0</v>
      </c>
      <c r="CC5" s="52">
        <f t="shared" ref="CC5:DJ5" si="25">CB30</f>
        <v>1045.3333333333335</v>
      </c>
      <c r="CD5" s="52">
        <f t="shared" si="25"/>
        <v>2090.6666666666665</v>
      </c>
      <c r="CE5" s="52">
        <f t="shared" si="25"/>
        <v>3135.9999999999995</v>
      </c>
      <c r="CF5" s="52">
        <f t="shared" si="25"/>
        <v>4181.333333333333</v>
      </c>
      <c r="CG5" s="52">
        <f t="shared" si="25"/>
        <v>5226.666666666667</v>
      </c>
      <c r="CH5" s="52">
        <f t="shared" si="25"/>
        <v>6272.0000000000009</v>
      </c>
      <c r="CI5" s="52">
        <f t="shared" si="25"/>
        <v>5226.6666666666679</v>
      </c>
      <c r="CJ5" s="52">
        <f t="shared" si="25"/>
        <v>4181.3333333333339</v>
      </c>
      <c r="CK5" s="52">
        <f t="shared" si="25"/>
        <v>3136.0000000000005</v>
      </c>
      <c r="CL5" s="52">
        <f t="shared" si="25"/>
        <v>2090.666666666667</v>
      </c>
      <c r="CM5" s="52">
        <f t="shared" si="25"/>
        <v>1045.3333333333335</v>
      </c>
      <c r="CN5" s="52">
        <f t="shared" si="25"/>
        <v>0</v>
      </c>
      <c r="CO5" s="52">
        <f t="shared" si="25"/>
        <v>1045.3333333333335</v>
      </c>
      <c r="CP5" s="52">
        <f t="shared" si="25"/>
        <v>2090.6666666666665</v>
      </c>
      <c r="CQ5" s="52">
        <f t="shared" si="25"/>
        <v>3135.9999999999995</v>
      </c>
      <c r="CR5" s="52">
        <f t="shared" si="25"/>
        <v>4181.333333333333</v>
      </c>
      <c r="CS5" s="52">
        <f t="shared" si="25"/>
        <v>5226.666666666667</v>
      </c>
      <c r="CT5" s="52">
        <f t="shared" si="25"/>
        <v>6272.0000000000009</v>
      </c>
      <c r="CU5" s="52">
        <f t="shared" si="25"/>
        <v>5226.6666666666679</v>
      </c>
      <c r="CV5" s="52">
        <f t="shared" si="25"/>
        <v>4181.3333333333339</v>
      </c>
      <c r="CW5" s="52">
        <f t="shared" si="25"/>
        <v>3136.0000000000005</v>
      </c>
      <c r="CX5" s="52">
        <f t="shared" si="25"/>
        <v>2090.666666666667</v>
      </c>
      <c r="CY5" s="52">
        <f t="shared" si="25"/>
        <v>1045.3333333333335</v>
      </c>
      <c r="CZ5" s="52">
        <f t="shared" si="25"/>
        <v>0</v>
      </c>
      <c r="DA5" s="52">
        <f t="shared" si="25"/>
        <v>1045.3333333333335</v>
      </c>
      <c r="DB5" s="52">
        <f t="shared" si="25"/>
        <v>2090.6666666666665</v>
      </c>
      <c r="DC5" s="52">
        <f t="shared" si="25"/>
        <v>3135.9999999999995</v>
      </c>
      <c r="DD5" s="52">
        <f t="shared" si="25"/>
        <v>4181.333333333333</v>
      </c>
      <c r="DE5" s="52">
        <f t="shared" si="25"/>
        <v>5226.666666666667</v>
      </c>
      <c r="DF5" s="52">
        <f t="shared" si="25"/>
        <v>6272.0000000000009</v>
      </c>
      <c r="DG5" s="52">
        <f t="shared" si="25"/>
        <v>5226.6666666666679</v>
      </c>
      <c r="DH5" s="52">
        <f t="shared" si="25"/>
        <v>4181.3333333333339</v>
      </c>
      <c r="DI5" s="52">
        <f t="shared" si="25"/>
        <v>3136.0000000000005</v>
      </c>
      <c r="DJ5" s="52">
        <f t="shared" si="25"/>
        <v>2090.666666666667</v>
      </c>
      <c r="DK5" s="52">
        <f t="shared" ref="DK5:EP5" si="26">DJ30</f>
        <v>1045.3333333333335</v>
      </c>
      <c r="DL5" s="52">
        <f t="shared" si="26"/>
        <v>0</v>
      </c>
      <c r="DM5" s="52">
        <f t="shared" si="26"/>
        <v>1045.3333333333335</v>
      </c>
      <c r="DN5" s="52">
        <f t="shared" si="26"/>
        <v>2090.6666666666665</v>
      </c>
      <c r="DO5" s="52">
        <f t="shared" si="26"/>
        <v>3135.9999999999995</v>
      </c>
      <c r="DP5" s="52">
        <f t="shared" si="26"/>
        <v>4181.333333333333</v>
      </c>
      <c r="DQ5" s="52">
        <f t="shared" si="26"/>
        <v>5226.666666666667</v>
      </c>
      <c r="DR5" s="52">
        <f t="shared" si="26"/>
        <v>6272.0000000000009</v>
      </c>
      <c r="DS5" s="52">
        <f t="shared" si="26"/>
        <v>5226.6666666666679</v>
      </c>
      <c r="DT5" s="52">
        <f t="shared" si="26"/>
        <v>4181.3333333333339</v>
      </c>
      <c r="DU5" s="52">
        <f t="shared" si="26"/>
        <v>3136.0000000000005</v>
      </c>
      <c r="DV5" s="52">
        <f t="shared" si="26"/>
        <v>2090.666666666667</v>
      </c>
      <c r="DW5" s="52">
        <f t="shared" si="26"/>
        <v>1045.3333333333335</v>
      </c>
      <c r="DX5" s="52">
        <f t="shared" si="26"/>
        <v>0</v>
      </c>
      <c r="DY5" s="52">
        <f t="shared" si="26"/>
        <v>1045.3333333333335</v>
      </c>
      <c r="DZ5" s="52">
        <f t="shared" si="26"/>
        <v>2090.6666666666665</v>
      </c>
      <c r="EA5" s="52">
        <f t="shared" si="26"/>
        <v>3135.9999999999995</v>
      </c>
      <c r="EB5" s="52">
        <f t="shared" si="26"/>
        <v>4181.333333333333</v>
      </c>
      <c r="EC5" s="52">
        <f t="shared" si="26"/>
        <v>5226.666666666667</v>
      </c>
      <c r="ED5" s="52">
        <f t="shared" si="26"/>
        <v>6272.0000000000009</v>
      </c>
      <c r="EE5" s="52">
        <f t="shared" si="26"/>
        <v>5226.6666666666679</v>
      </c>
      <c r="EF5" s="52">
        <f t="shared" si="26"/>
        <v>4181.3333333333339</v>
      </c>
      <c r="EG5" s="52">
        <f t="shared" si="26"/>
        <v>3136.0000000000005</v>
      </c>
      <c r="EH5" s="52">
        <f t="shared" si="26"/>
        <v>2090.666666666667</v>
      </c>
      <c r="EI5" s="52">
        <f t="shared" si="26"/>
        <v>1045.3333333333335</v>
      </c>
      <c r="EJ5" s="52">
        <f t="shared" si="26"/>
        <v>0</v>
      </c>
      <c r="EK5" s="52">
        <f t="shared" si="26"/>
        <v>1045.3333333333335</v>
      </c>
      <c r="EL5" s="52">
        <f t="shared" si="26"/>
        <v>2090.6666666666665</v>
      </c>
      <c r="EM5" s="52">
        <f t="shared" si="26"/>
        <v>3135.9999999999995</v>
      </c>
      <c r="EN5" s="52">
        <f t="shared" si="26"/>
        <v>4181.333333333333</v>
      </c>
      <c r="EO5" s="52">
        <f t="shared" si="26"/>
        <v>5226.666666666667</v>
      </c>
      <c r="EP5" s="52">
        <f t="shared" si="26"/>
        <v>6272.0000000000009</v>
      </c>
      <c r="EQ5" s="52">
        <f t="shared" ref="EQ5:FO5" si="27">EP30</f>
        <v>5226.6666666666679</v>
      </c>
      <c r="ER5" s="52">
        <f t="shared" si="27"/>
        <v>4181.3333333333339</v>
      </c>
      <c r="ES5" s="52">
        <f t="shared" si="27"/>
        <v>3136.0000000000005</v>
      </c>
      <c r="ET5" s="52">
        <f t="shared" si="27"/>
        <v>2090.666666666667</v>
      </c>
      <c r="EU5" s="52">
        <f t="shared" si="27"/>
        <v>1045.3333333333335</v>
      </c>
      <c r="EV5" s="52">
        <f t="shared" si="27"/>
        <v>0</v>
      </c>
      <c r="EW5" s="52">
        <f t="shared" si="27"/>
        <v>1045.3333333333335</v>
      </c>
      <c r="EX5" s="52">
        <f t="shared" si="27"/>
        <v>2090.6666666666665</v>
      </c>
      <c r="EY5" s="52">
        <f t="shared" si="27"/>
        <v>3135.9999999999995</v>
      </c>
      <c r="EZ5" s="52">
        <f t="shared" si="27"/>
        <v>4181.333333333333</v>
      </c>
      <c r="FA5" s="52">
        <f t="shared" si="27"/>
        <v>5226.666666666667</v>
      </c>
      <c r="FB5" s="52">
        <f t="shared" si="27"/>
        <v>6272.0000000000009</v>
      </c>
      <c r="FC5" s="52">
        <f t="shared" si="27"/>
        <v>5226.6666666666679</v>
      </c>
      <c r="FD5" s="52">
        <f t="shared" si="27"/>
        <v>4181.3333333333339</v>
      </c>
      <c r="FE5" s="52">
        <f t="shared" si="27"/>
        <v>3136.0000000000005</v>
      </c>
      <c r="FF5" s="52">
        <f t="shared" si="27"/>
        <v>2090.666666666667</v>
      </c>
      <c r="FG5" s="52">
        <f t="shared" si="27"/>
        <v>1045.3333333333335</v>
      </c>
      <c r="FH5" s="52">
        <f t="shared" si="27"/>
        <v>0</v>
      </c>
      <c r="FI5" s="52">
        <f t="shared" si="27"/>
        <v>1045.3333333333335</v>
      </c>
      <c r="FJ5" s="52">
        <f t="shared" si="27"/>
        <v>2090.6666666666665</v>
      </c>
      <c r="FK5" s="52">
        <f t="shared" si="27"/>
        <v>3135.9999999999995</v>
      </c>
      <c r="FL5" s="52">
        <f t="shared" si="27"/>
        <v>4181.333333333333</v>
      </c>
      <c r="FM5" s="52">
        <f t="shared" si="27"/>
        <v>5226.666666666667</v>
      </c>
      <c r="FN5" s="52">
        <f t="shared" si="27"/>
        <v>6272.0000000000009</v>
      </c>
      <c r="FO5" s="52">
        <f t="shared" si="27"/>
        <v>5226.6666666666679</v>
      </c>
    </row>
    <row r="6" spans="1:171">
      <c r="A6" s="87" t="s">
        <v>141</v>
      </c>
      <c r="B6" s="52">
        <v>0</v>
      </c>
      <c r="C6" s="52">
        <f t="shared" si="14"/>
        <v>1045.3333333333335</v>
      </c>
      <c r="D6" s="52">
        <f t="shared" si="4"/>
        <v>2090.6666666666665</v>
      </c>
      <c r="E6" s="52">
        <f t="shared" si="5"/>
        <v>3135.9999999999995</v>
      </c>
      <c r="F6" s="52">
        <f t="shared" si="6"/>
        <v>2090.6666666666661</v>
      </c>
      <c r="G6" s="52">
        <f t="shared" si="7"/>
        <v>1045.3333333333328</v>
      </c>
      <c r="H6" s="52">
        <f t="shared" si="15"/>
        <v>0</v>
      </c>
      <c r="I6" s="52">
        <f t="shared" si="15"/>
        <v>522.66666666666674</v>
      </c>
      <c r="J6" s="52">
        <f t="shared" ref="J6:P6" si="28">I31</f>
        <v>1045.3333333333333</v>
      </c>
      <c r="K6" s="52">
        <f t="shared" si="28"/>
        <v>1567.9999999999998</v>
      </c>
      <c r="L6" s="52">
        <f t="shared" si="28"/>
        <v>2090.6666666666665</v>
      </c>
      <c r="M6" s="52">
        <f t="shared" si="28"/>
        <v>2613.3333333333335</v>
      </c>
      <c r="N6" s="52">
        <f t="shared" si="28"/>
        <v>3136.0000000000005</v>
      </c>
      <c r="O6" s="52">
        <f t="shared" si="28"/>
        <v>2613.3333333333339</v>
      </c>
      <c r="P6" s="52">
        <f t="shared" si="28"/>
        <v>2090.666666666667</v>
      </c>
      <c r="Q6" s="52">
        <f t="shared" ref="Q6:AL6" si="29">P31</f>
        <v>1568.0000000000002</v>
      </c>
      <c r="R6" s="52">
        <f t="shared" si="29"/>
        <v>1045.3333333333335</v>
      </c>
      <c r="S6" s="52">
        <f t="shared" si="29"/>
        <v>522.66666666666674</v>
      </c>
      <c r="T6" s="52">
        <f t="shared" si="29"/>
        <v>0</v>
      </c>
      <c r="U6" s="52">
        <f t="shared" si="29"/>
        <v>522.66666666666674</v>
      </c>
      <c r="V6" s="52">
        <f t="shared" si="29"/>
        <v>1045.3333333333333</v>
      </c>
      <c r="W6" s="52">
        <f t="shared" si="29"/>
        <v>1567.9999999999998</v>
      </c>
      <c r="X6" s="52">
        <f t="shared" si="29"/>
        <v>2090.6666666666665</v>
      </c>
      <c r="Y6" s="52">
        <f t="shared" si="29"/>
        <v>2613.3333333333335</v>
      </c>
      <c r="Z6" s="52">
        <f t="shared" si="29"/>
        <v>3136.0000000000005</v>
      </c>
      <c r="AA6" s="52">
        <f t="shared" si="29"/>
        <v>2613.3333333333339</v>
      </c>
      <c r="AB6" s="52">
        <f t="shared" si="29"/>
        <v>2090.666666666667</v>
      </c>
      <c r="AC6" s="52">
        <f t="shared" si="29"/>
        <v>1568.0000000000002</v>
      </c>
      <c r="AD6" s="52">
        <f t="shared" si="29"/>
        <v>1045.3333333333335</v>
      </c>
      <c r="AE6" s="52">
        <f t="shared" si="29"/>
        <v>522.66666666666674</v>
      </c>
      <c r="AF6" s="52">
        <f t="shared" si="29"/>
        <v>0</v>
      </c>
      <c r="AG6" s="52">
        <f t="shared" si="29"/>
        <v>522.66666666666674</v>
      </c>
      <c r="AH6" s="52">
        <f t="shared" si="29"/>
        <v>1045.3333333333333</v>
      </c>
      <c r="AI6" s="52">
        <f t="shared" si="29"/>
        <v>1567.9999999999998</v>
      </c>
      <c r="AJ6" s="52">
        <f t="shared" si="29"/>
        <v>2090.6666666666665</v>
      </c>
      <c r="AK6" s="52">
        <f t="shared" si="29"/>
        <v>2613.3333333333335</v>
      </c>
      <c r="AL6" s="52">
        <f t="shared" si="29"/>
        <v>3136.0000000000005</v>
      </c>
      <c r="AM6" s="52">
        <f t="shared" ref="AM6:CB6" si="30">AL31</f>
        <v>2613.3333333333339</v>
      </c>
      <c r="AN6" s="52">
        <f t="shared" si="30"/>
        <v>2090.666666666667</v>
      </c>
      <c r="AO6" s="52">
        <f t="shared" si="30"/>
        <v>1568.0000000000002</v>
      </c>
      <c r="AP6" s="52">
        <f t="shared" si="30"/>
        <v>1045.3333333333335</v>
      </c>
      <c r="AQ6" s="52">
        <f t="shared" si="30"/>
        <v>522.66666666666674</v>
      </c>
      <c r="AR6" s="52">
        <f t="shared" si="30"/>
        <v>0</v>
      </c>
      <c r="AS6" s="52">
        <f t="shared" si="30"/>
        <v>522.66666666666674</v>
      </c>
      <c r="AT6" s="52">
        <f t="shared" si="30"/>
        <v>1045.3333333333333</v>
      </c>
      <c r="AU6" s="52">
        <f t="shared" si="30"/>
        <v>1567.9999999999998</v>
      </c>
      <c r="AV6" s="52">
        <f t="shared" si="30"/>
        <v>2090.6666666666665</v>
      </c>
      <c r="AW6" s="52">
        <f t="shared" si="30"/>
        <v>2613.3333333333335</v>
      </c>
      <c r="AX6" s="52">
        <f t="shared" si="30"/>
        <v>3136.0000000000005</v>
      </c>
      <c r="AY6" s="52">
        <f t="shared" si="30"/>
        <v>2613.3333333333339</v>
      </c>
      <c r="AZ6" s="52">
        <f t="shared" si="30"/>
        <v>2090.666666666667</v>
      </c>
      <c r="BA6" s="52">
        <f t="shared" si="30"/>
        <v>1568.0000000000002</v>
      </c>
      <c r="BB6" s="52">
        <f t="shared" si="30"/>
        <v>1045.3333333333335</v>
      </c>
      <c r="BC6" s="52">
        <f t="shared" si="30"/>
        <v>522.66666666666674</v>
      </c>
      <c r="BD6" s="52">
        <f t="shared" si="30"/>
        <v>0</v>
      </c>
      <c r="BE6" s="52">
        <f t="shared" si="30"/>
        <v>522.66666666666674</v>
      </c>
      <c r="BF6" s="52">
        <f t="shared" si="30"/>
        <v>1045.3333333333333</v>
      </c>
      <c r="BG6" s="52">
        <f t="shared" si="30"/>
        <v>1567.9999999999998</v>
      </c>
      <c r="BH6" s="52">
        <f t="shared" si="30"/>
        <v>2090.6666666666665</v>
      </c>
      <c r="BI6" s="52">
        <f t="shared" si="30"/>
        <v>2613.3333333333335</v>
      </c>
      <c r="BJ6" s="52">
        <f t="shared" si="30"/>
        <v>3136.0000000000005</v>
      </c>
      <c r="BK6" s="52">
        <f t="shared" si="30"/>
        <v>2613.3333333333339</v>
      </c>
      <c r="BL6" s="52">
        <f t="shared" si="30"/>
        <v>2090.666666666667</v>
      </c>
      <c r="BM6" s="52">
        <f t="shared" si="30"/>
        <v>1568.0000000000002</v>
      </c>
      <c r="BN6" s="52">
        <f t="shared" si="30"/>
        <v>1045.3333333333335</v>
      </c>
      <c r="BO6" s="52">
        <f t="shared" si="30"/>
        <v>522.66666666666674</v>
      </c>
      <c r="BP6" s="52">
        <f t="shared" si="30"/>
        <v>0</v>
      </c>
      <c r="BQ6" s="52">
        <f t="shared" si="30"/>
        <v>522.66666666666674</v>
      </c>
      <c r="BR6" s="52">
        <f t="shared" si="30"/>
        <v>1045.3333333333333</v>
      </c>
      <c r="BS6" s="52">
        <f t="shared" si="30"/>
        <v>1567.9999999999998</v>
      </c>
      <c r="BT6" s="52">
        <f t="shared" si="30"/>
        <v>2090.6666666666665</v>
      </c>
      <c r="BU6" s="52">
        <f t="shared" si="30"/>
        <v>2613.3333333333335</v>
      </c>
      <c r="BV6" s="52">
        <f t="shared" si="30"/>
        <v>3136.0000000000005</v>
      </c>
      <c r="BW6" s="52">
        <f t="shared" si="30"/>
        <v>2613.3333333333339</v>
      </c>
      <c r="BX6" s="52">
        <f t="shared" si="30"/>
        <v>2090.666666666667</v>
      </c>
      <c r="BY6" s="52">
        <f t="shared" si="30"/>
        <v>1568.0000000000002</v>
      </c>
      <c r="BZ6" s="52">
        <f t="shared" si="30"/>
        <v>1045.3333333333335</v>
      </c>
      <c r="CA6" s="52">
        <f t="shared" si="30"/>
        <v>522.66666666666674</v>
      </c>
      <c r="CB6" s="52">
        <f t="shared" si="30"/>
        <v>0</v>
      </c>
      <c r="CC6" s="52">
        <f t="shared" ref="CC6:DJ6" si="31">CB31</f>
        <v>522.66666666666674</v>
      </c>
      <c r="CD6" s="52">
        <f t="shared" si="31"/>
        <v>1045.3333333333333</v>
      </c>
      <c r="CE6" s="52">
        <f t="shared" si="31"/>
        <v>1567.9999999999998</v>
      </c>
      <c r="CF6" s="52">
        <f t="shared" si="31"/>
        <v>2090.6666666666665</v>
      </c>
      <c r="CG6" s="52">
        <f t="shared" si="31"/>
        <v>2613.3333333333335</v>
      </c>
      <c r="CH6" s="52">
        <f t="shared" si="31"/>
        <v>3136.0000000000005</v>
      </c>
      <c r="CI6" s="52">
        <f t="shared" si="31"/>
        <v>2613.3333333333339</v>
      </c>
      <c r="CJ6" s="52">
        <f t="shared" si="31"/>
        <v>2090.666666666667</v>
      </c>
      <c r="CK6" s="52">
        <f t="shared" si="31"/>
        <v>1568.0000000000002</v>
      </c>
      <c r="CL6" s="52">
        <f t="shared" si="31"/>
        <v>1045.3333333333335</v>
      </c>
      <c r="CM6" s="52">
        <f t="shared" si="31"/>
        <v>522.66666666666674</v>
      </c>
      <c r="CN6" s="52">
        <f t="shared" si="31"/>
        <v>0</v>
      </c>
      <c r="CO6" s="52">
        <f t="shared" si="31"/>
        <v>522.66666666666674</v>
      </c>
      <c r="CP6" s="52">
        <f t="shared" si="31"/>
        <v>1045.3333333333333</v>
      </c>
      <c r="CQ6" s="52">
        <f t="shared" si="31"/>
        <v>1567.9999999999998</v>
      </c>
      <c r="CR6" s="52">
        <f t="shared" si="31"/>
        <v>2090.6666666666665</v>
      </c>
      <c r="CS6" s="52">
        <f t="shared" si="31"/>
        <v>2613.3333333333335</v>
      </c>
      <c r="CT6" s="52">
        <f t="shared" si="31"/>
        <v>3136.0000000000005</v>
      </c>
      <c r="CU6" s="52">
        <f t="shared" si="31"/>
        <v>2613.3333333333339</v>
      </c>
      <c r="CV6" s="52">
        <f t="shared" si="31"/>
        <v>2090.666666666667</v>
      </c>
      <c r="CW6" s="52">
        <f t="shared" si="31"/>
        <v>1568.0000000000002</v>
      </c>
      <c r="CX6" s="52">
        <f t="shared" si="31"/>
        <v>1045.3333333333335</v>
      </c>
      <c r="CY6" s="52">
        <f t="shared" si="31"/>
        <v>522.66666666666674</v>
      </c>
      <c r="CZ6" s="52">
        <f t="shared" si="31"/>
        <v>0</v>
      </c>
      <c r="DA6" s="52">
        <f t="shared" si="31"/>
        <v>522.66666666666674</v>
      </c>
      <c r="DB6" s="52">
        <f t="shared" si="31"/>
        <v>1045.3333333333333</v>
      </c>
      <c r="DC6" s="52">
        <f t="shared" si="31"/>
        <v>1567.9999999999998</v>
      </c>
      <c r="DD6" s="52">
        <f t="shared" si="31"/>
        <v>2090.6666666666665</v>
      </c>
      <c r="DE6" s="52">
        <f t="shared" si="31"/>
        <v>2613.3333333333335</v>
      </c>
      <c r="DF6" s="52">
        <f t="shared" si="31"/>
        <v>3136.0000000000005</v>
      </c>
      <c r="DG6" s="52">
        <f t="shared" si="31"/>
        <v>2613.3333333333339</v>
      </c>
      <c r="DH6" s="52">
        <f t="shared" si="31"/>
        <v>2090.666666666667</v>
      </c>
      <c r="DI6" s="52">
        <f t="shared" si="31"/>
        <v>1568.0000000000002</v>
      </c>
      <c r="DJ6" s="52">
        <f t="shared" si="31"/>
        <v>1045.3333333333335</v>
      </c>
      <c r="DK6" s="52">
        <f t="shared" ref="DK6:EP6" si="32">DJ31</f>
        <v>522.66666666666674</v>
      </c>
      <c r="DL6" s="52">
        <f t="shared" si="32"/>
        <v>0</v>
      </c>
      <c r="DM6" s="52">
        <f t="shared" si="32"/>
        <v>522.66666666666674</v>
      </c>
      <c r="DN6" s="52">
        <f t="shared" si="32"/>
        <v>1045.3333333333333</v>
      </c>
      <c r="DO6" s="52">
        <f t="shared" si="32"/>
        <v>1567.9999999999998</v>
      </c>
      <c r="DP6" s="52">
        <f t="shared" si="32"/>
        <v>2090.6666666666665</v>
      </c>
      <c r="DQ6" s="52">
        <f t="shared" si="32"/>
        <v>2613.3333333333335</v>
      </c>
      <c r="DR6" s="52">
        <f t="shared" si="32"/>
        <v>3136.0000000000005</v>
      </c>
      <c r="DS6" s="52">
        <f t="shared" si="32"/>
        <v>2613.3333333333339</v>
      </c>
      <c r="DT6" s="52">
        <f t="shared" si="32"/>
        <v>2090.666666666667</v>
      </c>
      <c r="DU6" s="52">
        <f t="shared" si="32"/>
        <v>1568.0000000000002</v>
      </c>
      <c r="DV6" s="52">
        <f t="shared" si="32"/>
        <v>1045.3333333333335</v>
      </c>
      <c r="DW6" s="52">
        <f t="shared" si="32"/>
        <v>522.66666666666674</v>
      </c>
      <c r="DX6" s="52">
        <f t="shared" si="32"/>
        <v>0</v>
      </c>
      <c r="DY6" s="52">
        <f t="shared" si="32"/>
        <v>522.66666666666674</v>
      </c>
      <c r="DZ6" s="52">
        <f t="shared" si="32"/>
        <v>1045.3333333333333</v>
      </c>
      <c r="EA6" s="52">
        <f t="shared" si="32"/>
        <v>1567.9999999999998</v>
      </c>
      <c r="EB6" s="52">
        <f t="shared" si="32"/>
        <v>2090.6666666666665</v>
      </c>
      <c r="EC6" s="52">
        <f t="shared" si="32"/>
        <v>2613.3333333333335</v>
      </c>
      <c r="ED6" s="52">
        <f t="shared" si="32"/>
        <v>3136.0000000000005</v>
      </c>
      <c r="EE6" s="52">
        <f t="shared" si="32"/>
        <v>2613.3333333333339</v>
      </c>
      <c r="EF6" s="52">
        <f t="shared" si="32"/>
        <v>2090.666666666667</v>
      </c>
      <c r="EG6" s="52">
        <f t="shared" si="32"/>
        <v>1568.0000000000002</v>
      </c>
      <c r="EH6" s="52">
        <f t="shared" si="32"/>
        <v>1045.3333333333335</v>
      </c>
      <c r="EI6" s="52">
        <f t="shared" si="32"/>
        <v>522.66666666666674</v>
      </c>
      <c r="EJ6" s="52">
        <f t="shared" si="32"/>
        <v>0</v>
      </c>
      <c r="EK6" s="52">
        <f t="shared" si="32"/>
        <v>522.66666666666674</v>
      </c>
      <c r="EL6" s="52">
        <f t="shared" si="32"/>
        <v>1045.3333333333333</v>
      </c>
      <c r="EM6" s="52">
        <f t="shared" si="32"/>
        <v>1567.9999999999998</v>
      </c>
      <c r="EN6" s="52">
        <f t="shared" si="32"/>
        <v>2090.6666666666665</v>
      </c>
      <c r="EO6" s="52">
        <f t="shared" si="32"/>
        <v>2613.3333333333335</v>
      </c>
      <c r="EP6" s="52">
        <f t="shared" si="32"/>
        <v>3136.0000000000005</v>
      </c>
      <c r="EQ6" s="52">
        <f t="shared" ref="EQ6:FO6" si="33">EP31</f>
        <v>2613.3333333333339</v>
      </c>
      <c r="ER6" s="52">
        <f t="shared" si="33"/>
        <v>2090.666666666667</v>
      </c>
      <c r="ES6" s="52">
        <f t="shared" si="33"/>
        <v>1568.0000000000002</v>
      </c>
      <c r="ET6" s="52">
        <f t="shared" si="33"/>
        <v>1045.3333333333335</v>
      </c>
      <c r="EU6" s="52">
        <f t="shared" si="33"/>
        <v>522.66666666666674</v>
      </c>
      <c r="EV6" s="52">
        <f t="shared" si="33"/>
        <v>0</v>
      </c>
      <c r="EW6" s="52">
        <f t="shared" si="33"/>
        <v>522.66666666666674</v>
      </c>
      <c r="EX6" s="52">
        <f t="shared" si="33"/>
        <v>1045.3333333333333</v>
      </c>
      <c r="EY6" s="52">
        <f t="shared" si="33"/>
        <v>1567.9999999999998</v>
      </c>
      <c r="EZ6" s="52">
        <f t="shared" si="33"/>
        <v>2090.6666666666665</v>
      </c>
      <c r="FA6" s="52">
        <f t="shared" si="33"/>
        <v>2613.3333333333335</v>
      </c>
      <c r="FB6" s="52">
        <f t="shared" si="33"/>
        <v>3136.0000000000005</v>
      </c>
      <c r="FC6" s="52">
        <f t="shared" si="33"/>
        <v>2613.3333333333339</v>
      </c>
      <c r="FD6" s="52">
        <f t="shared" si="33"/>
        <v>2090.666666666667</v>
      </c>
      <c r="FE6" s="52">
        <f t="shared" si="33"/>
        <v>1568.0000000000002</v>
      </c>
      <c r="FF6" s="52">
        <f t="shared" si="33"/>
        <v>1045.3333333333335</v>
      </c>
      <c r="FG6" s="52">
        <f t="shared" si="33"/>
        <v>522.66666666666674</v>
      </c>
      <c r="FH6" s="52">
        <f t="shared" si="33"/>
        <v>0</v>
      </c>
      <c r="FI6" s="52">
        <f t="shared" si="33"/>
        <v>522.66666666666674</v>
      </c>
      <c r="FJ6" s="52">
        <f t="shared" si="33"/>
        <v>1045.3333333333333</v>
      </c>
      <c r="FK6" s="52">
        <f t="shared" si="33"/>
        <v>1567.9999999999998</v>
      </c>
      <c r="FL6" s="52">
        <f t="shared" si="33"/>
        <v>2090.6666666666665</v>
      </c>
      <c r="FM6" s="52">
        <f t="shared" si="33"/>
        <v>2613.3333333333335</v>
      </c>
      <c r="FN6" s="52">
        <f t="shared" si="33"/>
        <v>3136.0000000000005</v>
      </c>
      <c r="FO6" s="52">
        <f t="shared" si="33"/>
        <v>2613.3333333333339</v>
      </c>
    </row>
    <row r="7" spans="1:171">
      <c r="A7" s="87" t="s">
        <v>148</v>
      </c>
      <c r="B7" s="52">
        <f t="shared" ref="B7:AG7" si="34">SUM(B3:B6)</f>
        <v>0</v>
      </c>
      <c r="C7" s="52">
        <f t="shared" si="34"/>
        <v>13066.66666666667</v>
      </c>
      <c r="D7" s="52">
        <f t="shared" ref="D7:G7" si="35">SUM(D3:D6)</f>
        <v>26133.333333333332</v>
      </c>
      <c r="E7" s="52">
        <f t="shared" si="35"/>
        <v>39200</v>
      </c>
      <c r="F7" s="52">
        <f t="shared" si="35"/>
        <v>26133.333333333328</v>
      </c>
      <c r="G7" s="52">
        <f t="shared" si="35"/>
        <v>13066.666666666664</v>
      </c>
      <c r="H7" s="52">
        <f t="shared" si="34"/>
        <v>0</v>
      </c>
      <c r="I7" s="52">
        <f t="shared" si="34"/>
        <v>6533.3333333333348</v>
      </c>
      <c r="J7" s="52">
        <f t="shared" si="34"/>
        <v>13066.666666666666</v>
      </c>
      <c r="K7" s="52">
        <f t="shared" si="34"/>
        <v>19600</v>
      </c>
      <c r="L7" s="52">
        <f t="shared" si="34"/>
        <v>26133.333333333332</v>
      </c>
      <c r="M7" s="52">
        <f t="shared" si="34"/>
        <v>32666.666666666668</v>
      </c>
      <c r="N7" s="52">
        <f t="shared" si="34"/>
        <v>39200</v>
      </c>
      <c r="O7" s="52">
        <f t="shared" si="34"/>
        <v>32666.666666666672</v>
      </c>
      <c r="P7" s="52">
        <f t="shared" si="34"/>
        <v>26133.333333333339</v>
      </c>
      <c r="Q7" s="52">
        <f t="shared" si="34"/>
        <v>19600</v>
      </c>
      <c r="R7" s="52">
        <f t="shared" si="34"/>
        <v>13066.66666666667</v>
      </c>
      <c r="S7" s="52">
        <f t="shared" si="34"/>
        <v>6533.3333333333348</v>
      </c>
      <c r="T7" s="52">
        <f t="shared" si="34"/>
        <v>0</v>
      </c>
      <c r="U7" s="52">
        <f t="shared" si="34"/>
        <v>6533.3333333333348</v>
      </c>
      <c r="V7" s="52">
        <f t="shared" si="34"/>
        <v>13066.666666666666</v>
      </c>
      <c r="W7" s="52">
        <f t="shared" si="34"/>
        <v>19600</v>
      </c>
      <c r="X7" s="52">
        <f t="shared" si="34"/>
        <v>26133.333333333332</v>
      </c>
      <c r="Y7" s="52">
        <f t="shared" si="34"/>
        <v>32666.666666666668</v>
      </c>
      <c r="Z7" s="52">
        <f t="shared" si="34"/>
        <v>39200</v>
      </c>
      <c r="AA7" s="52">
        <f t="shared" si="34"/>
        <v>32666.666666666672</v>
      </c>
      <c r="AB7" s="52">
        <f t="shared" si="34"/>
        <v>26133.333333333339</v>
      </c>
      <c r="AC7" s="52">
        <f t="shared" si="34"/>
        <v>19600</v>
      </c>
      <c r="AD7" s="52">
        <f t="shared" si="34"/>
        <v>13066.66666666667</v>
      </c>
      <c r="AE7" s="52">
        <f t="shared" si="34"/>
        <v>6533.3333333333348</v>
      </c>
      <c r="AF7" s="52">
        <f t="shared" si="34"/>
        <v>0</v>
      </c>
      <c r="AG7" s="52">
        <f t="shared" si="34"/>
        <v>6533.3333333333348</v>
      </c>
      <c r="AH7" s="52">
        <f t="shared" ref="AH7:BM7" si="36">SUM(AH3:AH6)</f>
        <v>13066.666666666666</v>
      </c>
      <c r="AI7" s="52">
        <f t="shared" si="36"/>
        <v>19600</v>
      </c>
      <c r="AJ7" s="52">
        <f t="shared" si="36"/>
        <v>26133.333333333332</v>
      </c>
      <c r="AK7" s="52">
        <f t="shared" si="36"/>
        <v>32666.666666666668</v>
      </c>
      <c r="AL7" s="52">
        <f t="shared" si="36"/>
        <v>39200</v>
      </c>
      <c r="AM7" s="52">
        <f t="shared" si="36"/>
        <v>32666.666666666672</v>
      </c>
      <c r="AN7" s="52">
        <f t="shared" si="36"/>
        <v>26133.333333333339</v>
      </c>
      <c r="AO7" s="52">
        <f t="shared" si="36"/>
        <v>19600</v>
      </c>
      <c r="AP7" s="52">
        <f t="shared" si="36"/>
        <v>13066.66666666667</v>
      </c>
      <c r="AQ7" s="52">
        <f t="shared" si="36"/>
        <v>6533.3333333333348</v>
      </c>
      <c r="AR7" s="52">
        <f t="shared" si="36"/>
        <v>0</v>
      </c>
      <c r="AS7" s="52">
        <f t="shared" si="36"/>
        <v>6533.3333333333348</v>
      </c>
      <c r="AT7" s="52">
        <f t="shared" si="36"/>
        <v>13066.666666666666</v>
      </c>
      <c r="AU7" s="52">
        <f t="shared" si="36"/>
        <v>19600</v>
      </c>
      <c r="AV7" s="52">
        <f t="shared" si="36"/>
        <v>26133.333333333332</v>
      </c>
      <c r="AW7" s="52">
        <f t="shared" si="36"/>
        <v>32666.666666666668</v>
      </c>
      <c r="AX7" s="52">
        <f t="shared" si="36"/>
        <v>39200</v>
      </c>
      <c r="AY7" s="52">
        <f t="shared" si="36"/>
        <v>32666.666666666672</v>
      </c>
      <c r="AZ7" s="52">
        <f t="shared" si="36"/>
        <v>26133.333333333339</v>
      </c>
      <c r="BA7" s="52">
        <f t="shared" si="36"/>
        <v>19600</v>
      </c>
      <c r="BB7" s="52">
        <f t="shared" si="36"/>
        <v>13066.66666666667</v>
      </c>
      <c r="BC7" s="52">
        <f t="shared" si="36"/>
        <v>6533.3333333333348</v>
      </c>
      <c r="BD7" s="52">
        <f t="shared" si="36"/>
        <v>0</v>
      </c>
      <c r="BE7" s="52">
        <f t="shared" si="36"/>
        <v>6533.3333333333348</v>
      </c>
      <c r="BF7" s="52">
        <f t="shared" si="36"/>
        <v>13066.666666666666</v>
      </c>
      <c r="BG7" s="52">
        <f t="shared" si="36"/>
        <v>19600</v>
      </c>
      <c r="BH7" s="52">
        <f t="shared" si="36"/>
        <v>26133.333333333332</v>
      </c>
      <c r="BI7" s="52">
        <f t="shared" si="36"/>
        <v>32666.666666666668</v>
      </c>
      <c r="BJ7" s="52">
        <f t="shared" si="36"/>
        <v>39200</v>
      </c>
      <c r="BK7" s="52">
        <f t="shared" si="36"/>
        <v>32666.666666666672</v>
      </c>
      <c r="BL7" s="52">
        <f t="shared" si="36"/>
        <v>26133.333333333339</v>
      </c>
      <c r="BM7" s="52">
        <f t="shared" si="36"/>
        <v>19600</v>
      </c>
      <c r="BN7" s="52">
        <f t="shared" ref="BN7:CS7" si="37">SUM(BN3:BN6)</f>
        <v>13066.66666666667</v>
      </c>
      <c r="BO7" s="52">
        <f t="shared" si="37"/>
        <v>6533.3333333333348</v>
      </c>
      <c r="BP7" s="52">
        <f t="shared" si="37"/>
        <v>0</v>
      </c>
      <c r="BQ7" s="52">
        <f t="shared" si="37"/>
        <v>6533.3333333333348</v>
      </c>
      <c r="BR7" s="52">
        <f t="shared" si="37"/>
        <v>13066.666666666666</v>
      </c>
      <c r="BS7" s="52">
        <f t="shared" si="37"/>
        <v>19600</v>
      </c>
      <c r="BT7" s="52">
        <f t="shared" si="37"/>
        <v>26133.333333333332</v>
      </c>
      <c r="BU7" s="52">
        <f t="shared" si="37"/>
        <v>32666.666666666668</v>
      </c>
      <c r="BV7" s="52">
        <f t="shared" si="37"/>
        <v>39200</v>
      </c>
      <c r="BW7" s="52">
        <f t="shared" si="37"/>
        <v>32666.666666666672</v>
      </c>
      <c r="BX7" s="52">
        <f t="shared" si="37"/>
        <v>26133.333333333339</v>
      </c>
      <c r="BY7" s="52">
        <f t="shared" si="37"/>
        <v>19600</v>
      </c>
      <c r="BZ7" s="52">
        <f t="shared" si="37"/>
        <v>13066.66666666667</v>
      </c>
      <c r="CA7" s="52">
        <f t="shared" si="37"/>
        <v>6533.3333333333348</v>
      </c>
      <c r="CB7" s="52">
        <f t="shared" si="37"/>
        <v>0</v>
      </c>
      <c r="CC7" s="52">
        <f t="shared" si="37"/>
        <v>6533.3333333333348</v>
      </c>
      <c r="CD7" s="52">
        <f t="shared" si="37"/>
        <v>13066.666666666666</v>
      </c>
      <c r="CE7" s="52">
        <f t="shared" si="37"/>
        <v>19600</v>
      </c>
      <c r="CF7" s="52">
        <f t="shared" si="37"/>
        <v>26133.333333333332</v>
      </c>
      <c r="CG7" s="52">
        <f t="shared" si="37"/>
        <v>32666.666666666668</v>
      </c>
      <c r="CH7" s="52">
        <f t="shared" si="37"/>
        <v>39200</v>
      </c>
      <c r="CI7" s="52">
        <f t="shared" si="37"/>
        <v>32666.666666666672</v>
      </c>
      <c r="CJ7" s="52">
        <f t="shared" si="37"/>
        <v>26133.333333333339</v>
      </c>
      <c r="CK7" s="52">
        <f t="shared" si="37"/>
        <v>19600</v>
      </c>
      <c r="CL7" s="52">
        <f t="shared" si="37"/>
        <v>13066.66666666667</v>
      </c>
      <c r="CM7" s="52">
        <f t="shared" si="37"/>
        <v>6533.3333333333348</v>
      </c>
      <c r="CN7" s="52">
        <f t="shared" si="37"/>
        <v>0</v>
      </c>
      <c r="CO7" s="52">
        <f t="shared" si="37"/>
        <v>6533.3333333333348</v>
      </c>
      <c r="CP7" s="52">
        <f t="shared" si="37"/>
        <v>13066.666666666666</v>
      </c>
      <c r="CQ7" s="52">
        <f t="shared" si="37"/>
        <v>19600</v>
      </c>
      <c r="CR7" s="52">
        <f t="shared" si="37"/>
        <v>26133.333333333332</v>
      </c>
      <c r="CS7" s="52">
        <f t="shared" si="37"/>
        <v>32666.666666666668</v>
      </c>
      <c r="CT7" s="52">
        <f t="shared" ref="CT7:DI7" si="38">SUM(CT3:CT6)</f>
        <v>39200</v>
      </c>
      <c r="CU7" s="52">
        <f t="shared" si="38"/>
        <v>32666.666666666672</v>
      </c>
      <c r="CV7" s="52">
        <f t="shared" si="38"/>
        <v>26133.333333333339</v>
      </c>
      <c r="CW7" s="52">
        <f t="shared" si="38"/>
        <v>19600</v>
      </c>
      <c r="CX7" s="52">
        <f t="shared" si="38"/>
        <v>13066.66666666667</v>
      </c>
      <c r="CY7" s="52">
        <f t="shared" si="38"/>
        <v>6533.3333333333348</v>
      </c>
      <c r="CZ7" s="52">
        <f t="shared" si="38"/>
        <v>0</v>
      </c>
      <c r="DA7" s="52">
        <f t="shared" si="38"/>
        <v>6533.3333333333348</v>
      </c>
      <c r="DB7" s="52">
        <f t="shared" si="38"/>
        <v>13066.666666666666</v>
      </c>
      <c r="DC7" s="52">
        <f t="shared" si="38"/>
        <v>19600</v>
      </c>
      <c r="DD7" s="52">
        <f t="shared" si="38"/>
        <v>26133.333333333332</v>
      </c>
      <c r="DE7" s="52">
        <f t="shared" si="38"/>
        <v>32666.666666666668</v>
      </c>
      <c r="DF7" s="52">
        <f t="shared" si="38"/>
        <v>39200</v>
      </c>
      <c r="DG7" s="52">
        <f t="shared" si="38"/>
        <v>32666.666666666672</v>
      </c>
      <c r="DH7" s="52">
        <f t="shared" si="38"/>
        <v>26133.333333333339</v>
      </c>
      <c r="DI7" s="52">
        <f t="shared" si="38"/>
        <v>19600</v>
      </c>
      <c r="DJ7" s="52">
        <f t="shared" ref="DJ7:EW7" si="39">SUM(DJ3:DJ6)</f>
        <v>13066.66666666667</v>
      </c>
      <c r="DK7" s="52">
        <f t="shared" si="39"/>
        <v>6533.3333333333348</v>
      </c>
      <c r="DL7" s="52">
        <f t="shared" si="39"/>
        <v>0</v>
      </c>
      <c r="DM7" s="52">
        <f>SUM(DM3:DM6)</f>
        <v>6533.3333333333348</v>
      </c>
      <c r="DN7" s="52">
        <f t="shared" si="39"/>
        <v>13066.666666666666</v>
      </c>
      <c r="DO7" s="52">
        <f t="shared" si="39"/>
        <v>19600</v>
      </c>
      <c r="DP7" s="52">
        <f>SUM(DP3:DP6)</f>
        <v>26133.333333333332</v>
      </c>
      <c r="DQ7" s="52">
        <f t="shared" si="39"/>
        <v>32666.666666666668</v>
      </c>
      <c r="DR7" s="52">
        <f t="shared" si="39"/>
        <v>39200</v>
      </c>
      <c r="DS7" s="52">
        <f>SUM(DS3:DS6)</f>
        <v>32666.666666666672</v>
      </c>
      <c r="DT7" s="52">
        <f t="shared" si="39"/>
        <v>26133.333333333339</v>
      </c>
      <c r="DU7" s="52">
        <f t="shared" si="39"/>
        <v>19600</v>
      </c>
      <c r="DV7" s="52">
        <f>SUM(DV3:DV6)</f>
        <v>13066.66666666667</v>
      </c>
      <c r="DW7" s="52">
        <f t="shared" si="39"/>
        <v>6533.3333333333348</v>
      </c>
      <c r="DX7" s="52">
        <f t="shared" si="39"/>
        <v>0</v>
      </c>
      <c r="DY7" s="52">
        <f>SUM(DY3:DY6)</f>
        <v>6533.3333333333348</v>
      </c>
      <c r="DZ7" s="52">
        <f t="shared" si="39"/>
        <v>13066.666666666666</v>
      </c>
      <c r="EA7" s="52">
        <f t="shared" si="39"/>
        <v>19600</v>
      </c>
      <c r="EB7" s="52">
        <f>SUM(EB3:EB6)</f>
        <v>26133.333333333332</v>
      </c>
      <c r="EC7" s="52">
        <f t="shared" si="39"/>
        <v>32666.666666666668</v>
      </c>
      <c r="ED7" s="52">
        <f t="shared" si="39"/>
        <v>39200</v>
      </c>
      <c r="EE7" s="52">
        <f>SUM(EE3:EE6)</f>
        <v>32666.666666666672</v>
      </c>
      <c r="EF7" s="52">
        <f t="shared" si="39"/>
        <v>26133.333333333339</v>
      </c>
      <c r="EG7" s="52">
        <f t="shared" si="39"/>
        <v>19600</v>
      </c>
      <c r="EH7" s="52">
        <f>SUM(EH3:EH6)</f>
        <v>13066.66666666667</v>
      </c>
      <c r="EI7" s="52">
        <f t="shared" si="39"/>
        <v>6533.3333333333348</v>
      </c>
      <c r="EJ7" s="52">
        <f t="shared" si="39"/>
        <v>0</v>
      </c>
      <c r="EK7" s="52">
        <f>SUM(EK3:EK6)</f>
        <v>6533.3333333333348</v>
      </c>
      <c r="EL7" s="52">
        <f t="shared" si="39"/>
        <v>13066.666666666666</v>
      </c>
      <c r="EM7" s="52">
        <f t="shared" si="39"/>
        <v>19600</v>
      </c>
      <c r="EN7" s="52">
        <f>SUM(EN3:EN6)</f>
        <v>26133.333333333332</v>
      </c>
      <c r="EO7" s="52">
        <f t="shared" si="39"/>
        <v>32666.666666666668</v>
      </c>
      <c r="EP7" s="52">
        <f t="shared" si="39"/>
        <v>39200</v>
      </c>
      <c r="EQ7" s="52">
        <f>SUM(EQ3:EQ6)</f>
        <v>32666.666666666672</v>
      </c>
      <c r="ER7" s="52">
        <f t="shared" si="39"/>
        <v>26133.333333333339</v>
      </c>
      <c r="ES7" s="52">
        <f t="shared" si="39"/>
        <v>19600</v>
      </c>
      <c r="ET7" s="52">
        <f>SUM(ET3:ET6)</f>
        <v>13066.66666666667</v>
      </c>
      <c r="EU7" s="52">
        <f t="shared" si="39"/>
        <v>6533.3333333333348</v>
      </c>
      <c r="EV7" s="52">
        <f t="shared" si="39"/>
        <v>0</v>
      </c>
      <c r="EW7" s="52">
        <f t="shared" si="39"/>
        <v>6533.3333333333348</v>
      </c>
      <c r="EX7" s="52">
        <f t="shared" ref="EX7:FO7" si="40">SUM(EX3:EX6)</f>
        <v>13066.666666666666</v>
      </c>
      <c r="EY7" s="52">
        <f t="shared" si="40"/>
        <v>19600</v>
      </c>
      <c r="EZ7" s="52">
        <f t="shared" si="40"/>
        <v>26133.333333333332</v>
      </c>
      <c r="FA7" s="52">
        <f t="shared" si="40"/>
        <v>32666.666666666668</v>
      </c>
      <c r="FB7" s="52">
        <f t="shared" si="40"/>
        <v>39200</v>
      </c>
      <c r="FC7" s="52">
        <f t="shared" si="40"/>
        <v>32666.666666666672</v>
      </c>
      <c r="FD7" s="52">
        <f t="shared" si="40"/>
        <v>26133.333333333339</v>
      </c>
      <c r="FE7" s="52">
        <f t="shared" si="40"/>
        <v>19600</v>
      </c>
      <c r="FF7" s="52">
        <f t="shared" si="40"/>
        <v>13066.66666666667</v>
      </c>
      <c r="FG7" s="52">
        <f t="shared" si="40"/>
        <v>6533.3333333333348</v>
      </c>
      <c r="FH7" s="52">
        <f t="shared" si="40"/>
        <v>0</v>
      </c>
      <c r="FI7" s="52">
        <f t="shared" si="40"/>
        <v>6533.3333333333348</v>
      </c>
      <c r="FJ7" s="52">
        <f t="shared" si="40"/>
        <v>13066.666666666666</v>
      </c>
      <c r="FK7" s="52">
        <f t="shared" si="40"/>
        <v>19600</v>
      </c>
      <c r="FL7" s="52">
        <f t="shared" si="40"/>
        <v>26133.333333333332</v>
      </c>
      <c r="FM7" s="52">
        <f t="shared" si="40"/>
        <v>32666.666666666668</v>
      </c>
      <c r="FN7" s="52">
        <f t="shared" si="40"/>
        <v>39200</v>
      </c>
      <c r="FO7" s="52">
        <f t="shared" si="40"/>
        <v>32666.666666666672</v>
      </c>
    </row>
    <row r="8" spans="1:171">
      <c r="A8" s="87" t="s">
        <v>142</v>
      </c>
      <c r="B8" s="40">
        <f>B7/Предпосылки!$B$42</f>
        <v>0</v>
      </c>
      <c r="C8" s="40">
        <f>C7/Предпосылки!$B$42</f>
        <v>0.32666666666666672</v>
      </c>
      <c r="D8" s="40">
        <f>D7/Предпосылки!$B$42</f>
        <v>0.65333333333333332</v>
      </c>
      <c r="E8" s="40">
        <f>E7/Предпосылки!$B$42</f>
        <v>0.98</v>
      </c>
      <c r="F8" s="40">
        <f>F7/Предпосылки!$B$42</f>
        <v>0.65333333333333321</v>
      </c>
      <c r="G8" s="40">
        <f>G7/Предпосылки!$B$42</f>
        <v>0.32666666666666661</v>
      </c>
      <c r="H8" s="40">
        <f>H7/Предпосылки!$B$42</f>
        <v>0</v>
      </c>
      <c r="I8" s="40">
        <f>I7/Предпосылки!$B$42</f>
        <v>0.16333333333333336</v>
      </c>
      <c r="J8" s="40">
        <f>J7/Предпосылки!$B$42</f>
        <v>0.32666666666666666</v>
      </c>
      <c r="K8" s="40">
        <f>K7/Предпосылки!$B$42</f>
        <v>0.49</v>
      </c>
      <c r="L8" s="40">
        <f>L7/Предпосылки!$B$42</f>
        <v>0.65333333333333332</v>
      </c>
      <c r="M8" s="40">
        <f>M7/Предпосылки!$B$42</f>
        <v>0.81666666666666665</v>
      </c>
      <c r="N8" s="40">
        <f>N7/Предпосылки!$B$42</f>
        <v>0.98</v>
      </c>
      <c r="O8" s="40">
        <f>O7/Предпосылки!$B$42</f>
        <v>0.81666666666666676</v>
      </c>
      <c r="P8" s="40">
        <f>P7/Предпосылки!$B$42</f>
        <v>0.65333333333333343</v>
      </c>
      <c r="Q8" s="40">
        <f>Q7/Предпосылки!$B$42</f>
        <v>0.49</v>
      </c>
      <c r="R8" s="40">
        <f>R7/Предпосылки!$B$42</f>
        <v>0.32666666666666672</v>
      </c>
      <c r="S8" s="40">
        <f>S7/Предпосылки!$B$42</f>
        <v>0.16333333333333336</v>
      </c>
      <c r="T8" s="40">
        <f>T7/Предпосылки!$B$42</f>
        <v>0</v>
      </c>
      <c r="U8" s="40">
        <f>U7/Предпосылки!$B$42</f>
        <v>0.16333333333333336</v>
      </c>
      <c r="V8" s="40">
        <f>V7/Предпосылки!$B$42</f>
        <v>0.32666666666666666</v>
      </c>
      <c r="W8" s="40">
        <f>W7/Предпосылки!$B$42</f>
        <v>0.49</v>
      </c>
      <c r="X8" s="40">
        <f>X7/Предпосылки!$B$42</f>
        <v>0.65333333333333332</v>
      </c>
      <c r="Y8" s="40">
        <f>Y7/Предпосылки!$B$42</f>
        <v>0.81666666666666665</v>
      </c>
      <c r="Z8" s="40">
        <f>Z7/Предпосылки!$B$42</f>
        <v>0.98</v>
      </c>
      <c r="AA8" s="40">
        <f>AA7/Предпосылки!$B$42</f>
        <v>0.81666666666666676</v>
      </c>
      <c r="AB8" s="40">
        <f>AB7/Предпосылки!$B$42</f>
        <v>0.65333333333333343</v>
      </c>
      <c r="AC8" s="40">
        <f>AC7/Предпосылки!$B$42</f>
        <v>0.49</v>
      </c>
      <c r="AD8" s="40">
        <f>AD7/Предпосылки!$B$42</f>
        <v>0.32666666666666672</v>
      </c>
      <c r="AE8" s="40">
        <f>AE7/Предпосылки!$B$42</f>
        <v>0.16333333333333336</v>
      </c>
      <c r="AF8" s="40">
        <f>AF7/Предпосылки!$B$42</f>
        <v>0</v>
      </c>
      <c r="AG8" s="40">
        <f>AG7/Предпосылки!$B$42</f>
        <v>0.16333333333333336</v>
      </c>
      <c r="AH8" s="40">
        <f>AH7/Предпосылки!$B$42</f>
        <v>0.32666666666666666</v>
      </c>
      <c r="AI8" s="40">
        <f>AI7/Предпосылки!$B$42</f>
        <v>0.49</v>
      </c>
      <c r="AJ8" s="40">
        <f>AJ7/Предпосылки!$B$42</f>
        <v>0.65333333333333332</v>
      </c>
      <c r="AK8" s="40">
        <f>AK7/Предпосылки!$B$42</f>
        <v>0.81666666666666665</v>
      </c>
      <c r="AL8" s="40">
        <f>AL7/Предпосылки!$B$42</f>
        <v>0.98</v>
      </c>
      <c r="AM8" s="40">
        <f>AM7/Предпосылки!$B$42</f>
        <v>0.81666666666666676</v>
      </c>
      <c r="AN8" s="40">
        <f>AN7/Предпосылки!$B$42</f>
        <v>0.65333333333333343</v>
      </c>
      <c r="AO8" s="40">
        <f>AO7/Предпосылки!$B$42</f>
        <v>0.49</v>
      </c>
      <c r="AP8" s="40">
        <f>AP7/Предпосылки!$B$42</f>
        <v>0.32666666666666672</v>
      </c>
      <c r="AQ8" s="40">
        <f>AQ7/Предпосылки!$B$42</f>
        <v>0.16333333333333336</v>
      </c>
      <c r="AR8" s="40">
        <f>AR7/Предпосылки!$B$42</f>
        <v>0</v>
      </c>
      <c r="AS8" s="40">
        <f>AS7/Предпосылки!$B$42</f>
        <v>0.16333333333333336</v>
      </c>
      <c r="AT8" s="40">
        <f>AT7/Предпосылки!$B$42</f>
        <v>0.32666666666666666</v>
      </c>
      <c r="AU8" s="40">
        <f>AU7/Предпосылки!$B$42</f>
        <v>0.49</v>
      </c>
      <c r="AV8" s="40">
        <f>AV7/Предпосылки!$B$42</f>
        <v>0.65333333333333332</v>
      </c>
      <c r="AW8" s="40">
        <f>AW7/Предпосылки!$B$42</f>
        <v>0.81666666666666665</v>
      </c>
      <c r="AX8" s="40">
        <f>AX7/Предпосылки!$B$42</f>
        <v>0.98</v>
      </c>
      <c r="AY8" s="40">
        <f>AY7/Предпосылки!$B$42</f>
        <v>0.81666666666666676</v>
      </c>
      <c r="AZ8" s="40">
        <f>AZ7/Предпосылки!$B$42</f>
        <v>0.65333333333333343</v>
      </c>
      <c r="BA8" s="40">
        <f>BA7/Предпосылки!$B$42</f>
        <v>0.49</v>
      </c>
      <c r="BB8" s="40">
        <f>BB7/Предпосылки!$B$42</f>
        <v>0.32666666666666672</v>
      </c>
      <c r="BC8" s="40">
        <f>BC7/Предпосылки!$B$42</f>
        <v>0.16333333333333336</v>
      </c>
      <c r="BD8" s="40">
        <f>BD7/Предпосылки!$B$42</f>
        <v>0</v>
      </c>
      <c r="BE8" s="40">
        <f>BE7/Предпосылки!$B$42</f>
        <v>0.16333333333333336</v>
      </c>
      <c r="BF8" s="40">
        <f>BF7/Предпосылки!$B$42</f>
        <v>0.32666666666666666</v>
      </c>
      <c r="BG8" s="40">
        <f>BG7/Предпосылки!$B$42</f>
        <v>0.49</v>
      </c>
      <c r="BH8" s="40">
        <f>BH7/Предпосылки!$B$42</f>
        <v>0.65333333333333332</v>
      </c>
      <c r="BI8" s="40">
        <f>BI7/Предпосылки!$B$42</f>
        <v>0.81666666666666665</v>
      </c>
      <c r="BJ8" s="40">
        <f>BJ7/Предпосылки!$B$42</f>
        <v>0.98</v>
      </c>
      <c r="BK8" s="40">
        <f>BK7/Предпосылки!$B$42</f>
        <v>0.81666666666666676</v>
      </c>
      <c r="BL8" s="40">
        <f>BL7/Предпосылки!$B$42</f>
        <v>0.65333333333333343</v>
      </c>
      <c r="BM8" s="40">
        <f>BM7/Предпосылки!$B$42</f>
        <v>0.49</v>
      </c>
      <c r="BN8" s="40">
        <f>BN7/Предпосылки!$B$42</f>
        <v>0.32666666666666672</v>
      </c>
      <c r="BO8" s="40">
        <f>BO7/Предпосылки!$B$42</f>
        <v>0.16333333333333336</v>
      </c>
      <c r="BP8" s="40">
        <f>BP7/Предпосылки!$B$42</f>
        <v>0</v>
      </c>
      <c r="BQ8" s="40">
        <f>BQ7/Предпосылки!$B$42</f>
        <v>0.16333333333333336</v>
      </c>
      <c r="BR8" s="40">
        <f>BR7/Предпосылки!$B$42</f>
        <v>0.32666666666666666</v>
      </c>
      <c r="BS8" s="40">
        <f>BS7/Предпосылки!$B$42</f>
        <v>0.49</v>
      </c>
      <c r="BT8" s="40">
        <f>BT7/Предпосылки!$B$42</f>
        <v>0.65333333333333332</v>
      </c>
      <c r="BU8" s="40">
        <f>BU7/Предпосылки!$B$42</f>
        <v>0.81666666666666665</v>
      </c>
      <c r="BV8" s="40">
        <f>BV7/Предпосылки!$B$42</f>
        <v>0.98</v>
      </c>
      <c r="BW8" s="40">
        <f>BW7/Предпосылки!$B$42</f>
        <v>0.81666666666666676</v>
      </c>
      <c r="BX8" s="40">
        <f>BX7/Предпосылки!$B$42</f>
        <v>0.65333333333333343</v>
      </c>
      <c r="BY8" s="40">
        <f>BY7/Предпосылки!$B$42</f>
        <v>0.49</v>
      </c>
      <c r="BZ8" s="40">
        <f>BZ7/Предпосылки!$B$42</f>
        <v>0.32666666666666672</v>
      </c>
      <c r="CA8" s="40">
        <f>CA7/Предпосылки!$B$42</f>
        <v>0.16333333333333336</v>
      </c>
      <c r="CB8" s="40">
        <f>CB7/Предпосылки!$B$42</f>
        <v>0</v>
      </c>
      <c r="CC8" s="40">
        <f>CC7/Предпосылки!$B$42</f>
        <v>0.16333333333333336</v>
      </c>
      <c r="CD8" s="40">
        <f>CD7/Предпосылки!$B$42</f>
        <v>0.32666666666666666</v>
      </c>
      <c r="CE8" s="40">
        <f>CE7/Предпосылки!$B$42</f>
        <v>0.49</v>
      </c>
      <c r="CF8" s="40">
        <f>CF7/Предпосылки!$B$42</f>
        <v>0.65333333333333332</v>
      </c>
      <c r="CG8" s="40">
        <f>CG7/Предпосылки!$B$42</f>
        <v>0.81666666666666665</v>
      </c>
      <c r="CH8" s="40">
        <f>CH7/Предпосылки!$B$42</f>
        <v>0.98</v>
      </c>
      <c r="CI8" s="40">
        <f>CI7/Предпосылки!$B$42</f>
        <v>0.81666666666666676</v>
      </c>
      <c r="CJ8" s="40">
        <f>CJ7/Предпосылки!$B$42</f>
        <v>0.65333333333333343</v>
      </c>
      <c r="CK8" s="40">
        <f>CK7/Предпосылки!$B$42</f>
        <v>0.49</v>
      </c>
      <c r="CL8" s="40">
        <f>CL7/Предпосылки!$B$42</f>
        <v>0.32666666666666672</v>
      </c>
      <c r="CM8" s="40">
        <f>CM7/Предпосылки!$B$42</f>
        <v>0.16333333333333336</v>
      </c>
      <c r="CN8" s="40">
        <f>CN7/Предпосылки!$B$42</f>
        <v>0</v>
      </c>
      <c r="CO8" s="40">
        <f>CO7/Предпосылки!$B$42</f>
        <v>0.16333333333333336</v>
      </c>
      <c r="CP8" s="40">
        <f>CP7/Предпосылки!$B$42</f>
        <v>0.32666666666666666</v>
      </c>
      <c r="CQ8" s="40">
        <f>CQ7/Предпосылки!$B$42</f>
        <v>0.49</v>
      </c>
      <c r="CR8" s="40">
        <f>CR7/Предпосылки!$B$42</f>
        <v>0.65333333333333332</v>
      </c>
      <c r="CS8" s="40">
        <f>CS7/Предпосылки!$B$42</f>
        <v>0.81666666666666665</v>
      </c>
      <c r="CT8" s="40">
        <f>CT7/Предпосылки!$B$42</f>
        <v>0.98</v>
      </c>
      <c r="CU8" s="40">
        <f>CU7/Предпосылки!$B$42</f>
        <v>0.81666666666666676</v>
      </c>
      <c r="CV8" s="40">
        <f>CV7/Предпосылки!$B$42</f>
        <v>0.65333333333333343</v>
      </c>
      <c r="CW8" s="40">
        <f>CW7/Предпосылки!$B$42</f>
        <v>0.49</v>
      </c>
      <c r="CX8" s="40">
        <f>CX7/Предпосылки!$B$42</f>
        <v>0.32666666666666672</v>
      </c>
      <c r="CY8" s="40">
        <f>CY7/Предпосылки!$B$42</f>
        <v>0.16333333333333336</v>
      </c>
      <c r="CZ8" s="40">
        <f>CZ7/Предпосылки!$B$42</f>
        <v>0</v>
      </c>
      <c r="DA8" s="40">
        <f>DA7/Предпосылки!$B$42</f>
        <v>0.16333333333333336</v>
      </c>
      <c r="DB8" s="40">
        <f>DB7/Предпосылки!$B$42</f>
        <v>0.32666666666666666</v>
      </c>
      <c r="DC8" s="40">
        <f>DC7/Предпосылки!$B$42</f>
        <v>0.49</v>
      </c>
      <c r="DD8" s="40">
        <f>DD7/Предпосылки!$B$42</f>
        <v>0.65333333333333332</v>
      </c>
      <c r="DE8" s="40">
        <f>DE7/Предпосылки!$B$42</f>
        <v>0.81666666666666665</v>
      </c>
      <c r="DF8" s="40">
        <f>DF7/Предпосылки!$B$42</f>
        <v>0.98</v>
      </c>
      <c r="DG8" s="40">
        <f>DG7/Предпосылки!$B$42</f>
        <v>0.81666666666666676</v>
      </c>
      <c r="DH8" s="40">
        <f>DH7/Предпосылки!$B$42</f>
        <v>0.65333333333333343</v>
      </c>
      <c r="DI8" s="40">
        <f>DI7/Предпосылки!$B$42</f>
        <v>0.49</v>
      </c>
      <c r="DJ8" s="40">
        <f>DJ7/Предпосылки!$B$42</f>
        <v>0.32666666666666672</v>
      </c>
      <c r="DK8" s="40">
        <f>DK7/Предпосылки!$B$42</f>
        <v>0.16333333333333336</v>
      </c>
      <c r="DL8" s="40">
        <f>DL7/Предпосылки!$B$42</f>
        <v>0</v>
      </c>
      <c r="DM8" s="40">
        <f>DM7/Предпосылки!$B$42</f>
        <v>0.16333333333333336</v>
      </c>
      <c r="DN8" s="40">
        <f>DN7/Предпосылки!$B$42</f>
        <v>0.32666666666666666</v>
      </c>
      <c r="DO8" s="40">
        <f>DO7/Предпосылки!$B$42</f>
        <v>0.49</v>
      </c>
      <c r="DP8" s="40">
        <f>DP7/Предпосылки!$B$42</f>
        <v>0.65333333333333332</v>
      </c>
      <c r="DQ8" s="40">
        <f>DQ7/Предпосылки!$B$42</f>
        <v>0.81666666666666665</v>
      </c>
      <c r="DR8" s="40">
        <f>DR7/Предпосылки!$B$42</f>
        <v>0.98</v>
      </c>
      <c r="DS8" s="40">
        <f>DS7/Предпосылки!$B$42</f>
        <v>0.81666666666666676</v>
      </c>
      <c r="DT8" s="40">
        <f>DT7/Предпосылки!$B$42</f>
        <v>0.65333333333333343</v>
      </c>
      <c r="DU8" s="40">
        <f>DU7/Предпосылки!$B$42</f>
        <v>0.49</v>
      </c>
      <c r="DV8" s="40">
        <f>DV7/Предпосылки!$B$42</f>
        <v>0.32666666666666672</v>
      </c>
      <c r="DW8" s="40">
        <f>DW7/Предпосылки!$B$42</f>
        <v>0.16333333333333336</v>
      </c>
      <c r="DX8" s="40">
        <f>DX7/Предпосылки!$B$42</f>
        <v>0</v>
      </c>
      <c r="DY8" s="40">
        <f>DY7/Предпосылки!$B$42</f>
        <v>0.16333333333333336</v>
      </c>
      <c r="DZ8" s="40">
        <f>DZ7/Предпосылки!$B$42</f>
        <v>0.32666666666666666</v>
      </c>
      <c r="EA8" s="40">
        <f>EA7/Предпосылки!$B$42</f>
        <v>0.49</v>
      </c>
      <c r="EB8" s="40">
        <f>EB7/Предпосылки!$B$42</f>
        <v>0.65333333333333332</v>
      </c>
      <c r="EC8" s="40">
        <f>EC7/Предпосылки!$B$42</f>
        <v>0.81666666666666665</v>
      </c>
      <c r="ED8" s="40">
        <f>ED7/Предпосылки!$B$42</f>
        <v>0.98</v>
      </c>
      <c r="EE8" s="40">
        <f>EE7/Предпосылки!$B$42</f>
        <v>0.81666666666666676</v>
      </c>
      <c r="EF8" s="40">
        <f>EF7/Предпосылки!$B$42</f>
        <v>0.65333333333333343</v>
      </c>
      <c r="EG8" s="40">
        <f>EG7/Предпосылки!$B$42</f>
        <v>0.49</v>
      </c>
      <c r="EH8" s="40">
        <f>EH7/Предпосылки!$B$42</f>
        <v>0.32666666666666672</v>
      </c>
      <c r="EI8" s="40">
        <f>EI7/Предпосылки!$B$42</f>
        <v>0.16333333333333336</v>
      </c>
      <c r="EJ8" s="40">
        <f>EJ7/Предпосылки!$B$42</f>
        <v>0</v>
      </c>
      <c r="EK8" s="40">
        <f>EK7/Предпосылки!$B$42</f>
        <v>0.16333333333333336</v>
      </c>
      <c r="EL8" s="40">
        <f>EL7/Предпосылки!$B$42</f>
        <v>0.32666666666666666</v>
      </c>
      <c r="EM8" s="40">
        <f>EM7/Предпосылки!$B$42</f>
        <v>0.49</v>
      </c>
      <c r="EN8" s="40">
        <f>EN7/Предпосылки!$B$42</f>
        <v>0.65333333333333332</v>
      </c>
      <c r="EO8" s="40">
        <f>EO7/Предпосылки!$B$42</f>
        <v>0.81666666666666665</v>
      </c>
      <c r="EP8" s="40">
        <f>EP7/Предпосылки!$B$42</f>
        <v>0.98</v>
      </c>
      <c r="EQ8" s="40">
        <f>EQ7/Предпосылки!$B$42</f>
        <v>0.81666666666666676</v>
      </c>
      <c r="ER8" s="40">
        <f>ER7/Предпосылки!$B$42</f>
        <v>0.65333333333333343</v>
      </c>
      <c r="ES8" s="40">
        <f>ES7/Предпосылки!$B$42</f>
        <v>0.49</v>
      </c>
      <c r="ET8" s="40">
        <f>ET7/Предпосылки!$B$42</f>
        <v>0.32666666666666672</v>
      </c>
      <c r="EU8" s="40">
        <f>EU7/Предпосылки!$B$42</f>
        <v>0.16333333333333336</v>
      </c>
      <c r="EV8" s="40">
        <f>EV7/Предпосылки!$B$42</f>
        <v>0</v>
      </c>
      <c r="EW8" s="40">
        <f>EW7/Предпосылки!$B$42</f>
        <v>0.16333333333333336</v>
      </c>
      <c r="EX8" s="40">
        <f>EX7/Предпосылки!$B$42</f>
        <v>0.32666666666666666</v>
      </c>
      <c r="EY8" s="40">
        <f>EY7/Предпосылки!$B$42</f>
        <v>0.49</v>
      </c>
      <c r="EZ8" s="40">
        <f>EZ7/Предпосылки!$B$42</f>
        <v>0.65333333333333332</v>
      </c>
      <c r="FA8" s="40">
        <f>FA7/Предпосылки!$B$42</f>
        <v>0.81666666666666665</v>
      </c>
      <c r="FB8" s="40">
        <f>FB7/Предпосылки!$B$42</f>
        <v>0.98</v>
      </c>
      <c r="FC8" s="40">
        <f>FC7/Предпосылки!$B$42</f>
        <v>0.81666666666666676</v>
      </c>
      <c r="FD8" s="40">
        <f>FD7/Предпосылки!$B$42</f>
        <v>0.65333333333333343</v>
      </c>
      <c r="FE8" s="40">
        <f>FE7/Предпосылки!$B$42</f>
        <v>0.49</v>
      </c>
      <c r="FF8" s="40">
        <f>FF7/Предпосылки!$B$42</f>
        <v>0.32666666666666672</v>
      </c>
      <c r="FG8" s="40">
        <f>FG7/Предпосылки!$B$42</f>
        <v>0.16333333333333336</v>
      </c>
      <c r="FH8" s="40">
        <f>FH7/Предпосылки!$B$42</f>
        <v>0</v>
      </c>
      <c r="FI8" s="40">
        <f>FI7/Предпосылки!$B$42</f>
        <v>0.16333333333333336</v>
      </c>
      <c r="FJ8" s="40">
        <f>FJ7/Предпосылки!$B$42</f>
        <v>0.32666666666666666</v>
      </c>
      <c r="FK8" s="40">
        <f>FK7/Предпосылки!$B$42</f>
        <v>0.49</v>
      </c>
      <c r="FL8" s="40">
        <f>FL7/Предпосылки!$B$42</f>
        <v>0.65333333333333332</v>
      </c>
      <c r="FM8" s="40">
        <f>FM7/Предпосылки!$B$42</f>
        <v>0.81666666666666665</v>
      </c>
      <c r="FN8" s="40">
        <f>FN7/Предпосылки!$B$42</f>
        <v>0.98</v>
      </c>
      <c r="FO8" s="40">
        <f>FO7/Предпосылки!$B$42</f>
        <v>0.81666666666666676</v>
      </c>
    </row>
    <row r="10" spans="1:171">
      <c r="A10" s="87" t="s">
        <v>143</v>
      </c>
      <c r="B10" s="52">
        <f>Предпосылки!B43/3</f>
        <v>8000</v>
      </c>
      <c r="C10" s="52">
        <f>B10</f>
        <v>8000</v>
      </c>
      <c r="D10" s="52">
        <f>C10</f>
        <v>8000</v>
      </c>
      <c r="E10" s="52">
        <v>0</v>
      </c>
      <c r="F10" s="52">
        <v>0</v>
      </c>
      <c r="G10" s="52">
        <v>0</v>
      </c>
      <c r="H10" s="52">
        <f>B10/2</f>
        <v>4000</v>
      </c>
      <c r="I10" s="52">
        <f t="shared" ref="I10:J13" si="41">C10/2</f>
        <v>4000</v>
      </c>
      <c r="J10" s="52">
        <f t="shared" si="41"/>
        <v>4000</v>
      </c>
      <c r="K10" s="52">
        <f>H10</f>
        <v>4000</v>
      </c>
      <c r="L10" s="52">
        <f t="shared" ref="L10:M10" si="42">I10</f>
        <v>4000</v>
      </c>
      <c r="M10" s="52">
        <f t="shared" si="42"/>
        <v>4000</v>
      </c>
      <c r="N10" s="52">
        <f>H22</f>
        <v>0</v>
      </c>
      <c r="O10" s="52">
        <f t="shared" ref="O10:S14" si="43">I22</f>
        <v>0</v>
      </c>
      <c r="P10" s="52">
        <f t="shared" si="43"/>
        <v>0</v>
      </c>
      <c r="Q10" s="52">
        <f t="shared" si="43"/>
        <v>0</v>
      </c>
      <c r="R10" s="52">
        <f t="shared" si="43"/>
        <v>0</v>
      </c>
      <c r="S10" s="52">
        <f>M22</f>
        <v>0</v>
      </c>
      <c r="T10" s="52">
        <f>H10</f>
        <v>4000</v>
      </c>
      <c r="U10" s="52">
        <f t="shared" ref="U10:AA14" si="44">I10</f>
        <v>4000</v>
      </c>
      <c r="V10" s="52">
        <f t="shared" si="44"/>
        <v>4000</v>
      </c>
      <c r="W10" s="52">
        <f t="shared" si="44"/>
        <v>4000</v>
      </c>
      <c r="X10" s="52">
        <f t="shared" si="44"/>
        <v>4000</v>
      </c>
      <c r="Y10" s="52">
        <f t="shared" si="44"/>
        <v>4000</v>
      </c>
      <c r="Z10" s="52">
        <f t="shared" si="44"/>
        <v>0</v>
      </c>
      <c r="AA10" s="52">
        <f t="shared" si="44"/>
        <v>0</v>
      </c>
      <c r="AB10" s="52">
        <f t="shared" ref="AB10:AB14" si="45">P10</f>
        <v>0</v>
      </c>
      <c r="AC10" s="52">
        <f t="shared" ref="AC10:AC14" si="46">Q10</f>
        <v>0</v>
      </c>
      <c r="AD10" s="52">
        <f t="shared" ref="AD10:AD14" si="47">R10</f>
        <v>0</v>
      </c>
      <c r="AE10" s="52">
        <f t="shared" ref="AE10:AE14" si="48">S10</f>
        <v>0</v>
      </c>
      <c r="AF10" s="52">
        <f t="shared" ref="AF10:AF14" si="49">T10</f>
        <v>4000</v>
      </c>
      <c r="AG10" s="52">
        <f t="shared" ref="AG10:AG14" si="50">U10</f>
        <v>4000</v>
      </c>
      <c r="AH10" s="52">
        <f t="shared" ref="AH10:AH14" si="51">V10</f>
        <v>4000</v>
      </c>
      <c r="AI10" s="52">
        <f t="shared" ref="AI10:AI14" si="52">W10</f>
        <v>4000</v>
      </c>
      <c r="AJ10" s="52">
        <f t="shared" ref="AJ10:AJ14" si="53">X10</f>
        <v>4000</v>
      </c>
      <c r="AK10" s="52">
        <f t="shared" ref="AK10:AK14" si="54">Y10</f>
        <v>4000</v>
      </c>
      <c r="AL10" s="52">
        <f t="shared" ref="AL10:AL14" si="55">Z10</f>
        <v>0</v>
      </c>
      <c r="AM10" s="52">
        <f t="shared" ref="AM10:AM14" si="56">AA10</f>
        <v>0</v>
      </c>
      <c r="AN10" s="52">
        <f t="shared" ref="AN10:AN14" si="57">AB10</f>
        <v>0</v>
      </c>
      <c r="AO10" s="52">
        <f t="shared" ref="AO10:AO14" si="58">AC10</f>
        <v>0</v>
      </c>
      <c r="AP10" s="52">
        <f t="shared" ref="AP10:AP14" si="59">AD10</f>
        <v>0</v>
      </c>
      <c r="AQ10" s="52">
        <f t="shared" ref="AQ10:AQ14" si="60">AE10</f>
        <v>0</v>
      </c>
      <c r="AR10" s="52">
        <f t="shared" ref="AR10:AR14" si="61">AF10</f>
        <v>4000</v>
      </c>
      <c r="AS10" s="52">
        <f t="shared" ref="AS10:AS14" si="62">AG10</f>
        <v>4000</v>
      </c>
      <c r="AT10" s="52">
        <f t="shared" ref="AT10:AT14" si="63">AH10</f>
        <v>4000</v>
      </c>
      <c r="AU10" s="52">
        <f t="shared" ref="AU10:AU14" si="64">AI10</f>
        <v>4000</v>
      </c>
      <c r="AV10" s="52">
        <f t="shared" ref="AV10:AV14" si="65">AJ10</f>
        <v>4000</v>
      </c>
      <c r="AW10" s="52">
        <f t="shared" ref="AW10:AW14" si="66">AK10</f>
        <v>4000</v>
      </c>
      <c r="AX10" s="52">
        <f t="shared" ref="AX10:AX14" si="67">AL10</f>
        <v>0</v>
      </c>
      <c r="AY10" s="52">
        <f t="shared" ref="AY10:AY14" si="68">AM10</f>
        <v>0</v>
      </c>
      <c r="AZ10" s="52">
        <f t="shared" ref="AZ10:AZ14" si="69">AN10</f>
        <v>0</v>
      </c>
      <c r="BA10" s="52">
        <f t="shared" ref="BA10:BA14" si="70">AO10</f>
        <v>0</v>
      </c>
      <c r="BB10" s="52">
        <f t="shared" ref="BB10:BB14" si="71">AP10</f>
        <v>0</v>
      </c>
      <c r="BC10" s="52">
        <f t="shared" ref="BC10:BC14" si="72">AQ10</f>
        <v>0</v>
      </c>
      <c r="BD10" s="52">
        <f t="shared" ref="BD10:BD14" si="73">AR10</f>
        <v>4000</v>
      </c>
      <c r="BE10" s="52">
        <f t="shared" ref="BE10:BE14" si="74">AS10</f>
        <v>4000</v>
      </c>
      <c r="BF10" s="52">
        <f t="shared" ref="BF10:BF14" si="75">AT10</f>
        <v>4000</v>
      </c>
      <c r="BG10" s="52">
        <f t="shared" ref="BG10:BG14" si="76">AU10</f>
        <v>4000</v>
      </c>
      <c r="BH10" s="52">
        <f t="shared" ref="BH10:BH14" si="77">AV10</f>
        <v>4000</v>
      </c>
      <c r="BI10" s="52">
        <f t="shared" ref="BI10:BI14" si="78">AW10</f>
        <v>4000</v>
      </c>
      <c r="BJ10" s="52">
        <f t="shared" ref="BJ10:BJ14" si="79">AX10</f>
        <v>0</v>
      </c>
      <c r="BK10" s="52">
        <f t="shared" ref="BK10:BK14" si="80">AY10</f>
        <v>0</v>
      </c>
      <c r="BL10" s="52">
        <f t="shared" ref="BL10:BL14" si="81">AZ10</f>
        <v>0</v>
      </c>
      <c r="BM10" s="52">
        <f t="shared" ref="BM10:BM14" si="82">BA10</f>
        <v>0</v>
      </c>
      <c r="BN10" s="52">
        <f t="shared" ref="BN10:BN14" si="83">BB10</f>
        <v>0</v>
      </c>
      <c r="BO10" s="52">
        <f t="shared" ref="BO10:BO14" si="84">BC10</f>
        <v>0</v>
      </c>
      <c r="BP10" s="52">
        <f t="shared" ref="BP10:BP14" si="85">BD10</f>
        <v>4000</v>
      </c>
      <c r="BQ10" s="52">
        <f t="shared" ref="BQ10:BQ14" si="86">BE10</f>
        <v>4000</v>
      </c>
      <c r="BR10" s="52">
        <f t="shared" ref="BR10:BR14" si="87">BF10</f>
        <v>4000</v>
      </c>
      <c r="BS10" s="52">
        <f t="shared" ref="BS10:BS14" si="88">BG10</f>
        <v>4000</v>
      </c>
      <c r="BT10" s="52">
        <f t="shared" ref="BT10:BT14" si="89">BH10</f>
        <v>4000</v>
      </c>
      <c r="BU10" s="52">
        <f t="shared" ref="BU10:BU14" si="90">BI10</f>
        <v>4000</v>
      </c>
      <c r="BV10" s="52">
        <f t="shared" ref="BV10:BV14" si="91">BJ10</f>
        <v>0</v>
      </c>
      <c r="BW10" s="52">
        <f t="shared" ref="BW10:BW14" si="92">BK10</f>
        <v>0</v>
      </c>
      <c r="BX10" s="52">
        <f t="shared" ref="BX10:BX14" si="93">BL10</f>
        <v>0</v>
      </c>
      <c r="BY10" s="52">
        <f t="shared" ref="BY10:BY14" si="94">BM10</f>
        <v>0</v>
      </c>
      <c r="BZ10" s="52">
        <f t="shared" ref="BZ10:BZ14" si="95">BN10</f>
        <v>0</v>
      </c>
      <c r="CA10" s="52">
        <f t="shared" ref="CA10:CA14" si="96">BO10</f>
        <v>0</v>
      </c>
      <c r="CB10" s="52">
        <f t="shared" ref="CB10:CB14" si="97">BP10</f>
        <v>4000</v>
      </c>
      <c r="CC10" s="52">
        <f t="shared" ref="CC10:CC14" si="98">BQ10</f>
        <v>4000</v>
      </c>
      <c r="CD10" s="52">
        <f t="shared" ref="CD10:CD14" si="99">BR10</f>
        <v>4000</v>
      </c>
      <c r="CE10" s="52">
        <f t="shared" ref="CE10:CE14" si="100">BS10</f>
        <v>4000</v>
      </c>
      <c r="CF10" s="52">
        <f t="shared" ref="CF10:CF14" si="101">BT10</f>
        <v>4000</v>
      </c>
      <c r="CG10" s="52">
        <f t="shared" ref="CG10:CG14" si="102">BU10</f>
        <v>4000</v>
      </c>
      <c r="CH10" s="52">
        <f t="shared" ref="CH10:CH14" si="103">BV10</f>
        <v>0</v>
      </c>
      <c r="CI10" s="52">
        <f t="shared" ref="CI10:CI14" si="104">BW10</f>
        <v>0</v>
      </c>
      <c r="CJ10" s="52">
        <f t="shared" ref="CJ10:CJ14" si="105">BX10</f>
        <v>0</v>
      </c>
      <c r="CK10" s="52">
        <f t="shared" ref="CK10:CK14" si="106">BY10</f>
        <v>0</v>
      </c>
      <c r="CL10" s="52">
        <f t="shared" ref="CL10:CL14" si="107">BZ10</f>
        <v>0</v>
      </c>
      <c r="CM10" s="52">
        <f t="shared" ref="CM10:CM14" si="108">CA10</f>
        <v>0</v>
      </c>
      <c r="CN10" s="52">
        <f t="shared" ref="CN10:CN14" si="109">CB10</f>
        <v>4000</v>
      </c>
      <c r="CO10" s="52">
        <f t="shared" ref="CO10:CO14" si="110">CC10</f>
        <v>4000</v>
      </c>
      <c r="CP10" s="52">
        <f t="shared" ref="CP10:CP14" si="111">CD10</f>
        <v>4000</v>
      </c>
      <c r="CQ10" s="52">
        <f t="shared" ref="CQ10:CQ14" si="112">CE10</f>
        <v>4000</v>
      </c>
      <c r="CR10" s="52">
        <f t="shared" ref="CR10:CR14" si="113">CF10</f>
        <v>4000</v>
      </c>
      <c r="CS10" s="52">
        <f t="shared" ref="CS10:CS14" si="114">CG10</f>
        <v>4000</v>
      </c>
      <c r="CT10" s="52">
        <f t="shared" ref="CT10:CT14" si="115">CH10</f>
        <v>0</v>
      </c>
      <c r="CU10" s="52">
        <f t="shared" ref="CU10:CU14" si="116">CI10</f>
        <v>0</v>
      </c>
      <c r="CV10" s="52">
        <f t="shared" ref="CV10:CV14" si="117">CJ10</f>
        <v>0</v>
      </c>
      <c r="CW10" s="52">
        <f t="shared" ref="CW10:CW14" si="118">CK10</f>
        <v>0</v>
      </c>
      <c r="CX10" s="52">
        <f t="shared" ref="CX10:CX14" si="119">CL10</f>
        <v>0</v>
      </c>
      <c r="CY10" s="52">
        <f t="shared" ref="CY10:CY14" si="120">CM10</f>
        <v>0</v>
      </c>
      <c r="CZ10" s="52">
        <f t="shared" ref="CZ10:CZ14" si="121">CN10</f>
        <v>4000</v>
      </c>
      <c r="DA10" s="52">
        <f t="shared" ref="DA10:DA14" si="122">CO10</f>
        <v>4000</v>
      </c>
      <c r="DB10" s="52">
        <f t="shared" ref="DB10:DB14" si="123">CP10</f>
        <v>4000</v>
      </c>
      <c r="DC10" s="52">
        <f t="shared" ref="DC10:DC14" si="124">CQ10</f>
        <v>4000</v>
      </c>
      <c r="DD10" s="52">
        <f t="shared" ref="DD10:DD14" si="125">CR10</f>
        <v>4000</v>
      </c>
      <c r="DE10" s="52">
        <f t="shared" ref="DE10:DE14" si="126">CS10</f>
        <v>4000</v>
      </c>
      <c r="DF10" s="52">
        <f t="shared" ref="DF10:DF14" si="127">CT10</f>
        <v>0</v>
      </c>
      <c r="DG10" s="52">
        <f t="shared" ref="DG10:DG14" si="128">CU10</f>
        <v>0</v>
      </c>
      <c r="DH10" s="52">
        <f t="shared" ref="DH10:DH14" si="129">CV10</f>
        <v>0</v>
      </c>
      <c r="DI10" s="52">
        <f t="shared" ref="DI10:DI14" si="130">CW10</f>
        <v>0</v>
      </c>
      <c r="DJ10" s="52">
        <f t="shared" ref="DJ10:DJ14" si="131">CX10</f>
        <v>0</v>
      </c>
      <c r="DK10" s="52">
        <f t="shared" ref="DK10:DK14" si="132">CY10</f>
        <v>0</v>
      </c>
      <c r="DL10" s="52">
        <f t="shared" ref="DL10:DL14" si="133">CZ10</f>
        <v>4000</v>
      </c>
      <c r="DM10" s="52">
        <f t="shared" ref="DM10:DM14" si="134">DA10</f>
        <v>4000</v>
      </c>
      <c r="DN10" s="52">
        <f t="shared" ref="DN10:DN14" si="135">DB10</f>
        <v>4000</v>
      </c>
      <c r="DO10" s="52">
        <f t="shared" ref="DO10:DO14" si="136">DC10</f>
        <v>4000</v>
      </c>
      <c r="DP10" s="52">
        <f t="shared" ref="DP10:DP14" si="137">DD10</f>
        <v>4000</v>
      </c>
      <c r="DQ10" s="52">
        <f t="shared" ref="DQ10:DQ14" si="138">DE10</f>
        <v>4000</v>
      </c>
      <c r="DR10" s="52">
        <f t="shared" ref="DR10:DR14" si="139">DF10</f>
        <v>0</v>
      </c>
      <c r="DS10" s="52">
        <f t="shared" ref="DS10:DS14" si="140">DG10</f>
        <v>0</v>
      </c>
      <c r="DT10" s="52">
        <f t="shared" ref="DT10:DT14" si="141">DH10</f>
        <v>0</v>
      </c>
      <c r="DU10" s="52">
        <f t="shared" ref="DU10:DU14" si="142">DI10</f>
        <v>0</v>
      </c>
      <c r="DV10" s="52">
        <f t="shared" ref="DV10:DV14" si="143">DJ10</f>
        <v>0</v>
      </c>
      <c r="DW10" s="52">
        <f t="shared" ref="DW10:DW14" si="144">DK10</f>
        <v>0</v>
      </c>
      <c r="DX10" s="52">
        <f t="shared" ref="DX10:DX14" si="145">DL10</f>
        <v>4000</v>
      </c>
      <c r="DY10" s="52">
        <f t="shared" ref="DY10:DY14" si="146">DM10</f>
        <v>4000</v>
      </c>
      <c r="DZ10" s="52">
        <f t="shared" ref="DZ10:DZ14" si="147">DN10</f>
        <v>4000</v>
      </c>
      <c r="EA10" s="52">
        <f t="shared" ref="EA10:EA14" si="148">DO10</f>
        <v>4000</v>
      </c>
      <c r="EB10" s="52">
        <f t="shared" ref="EB10:EB14" si="149">DP10</f>
        <v>4000</v>
      </c>
      <c r="EC10" s="52">
        <f t="shared" ref="EC10:EC14" si="150">DQ10</f>
        <v>4000</v>
      </c>
      <c r="ED10" s="52">
        <f t="shared" ref="ED10:ED14" si="151">DR10</f>
        <v>0</v>
      </c>
      <c r="EE10" s="52">
        <f t="shared" ref="EE10:EE14" si="152">DS10</f>
        <v>0</v>
      </c>
      <c r="EF10" s="52">
        <f t="shared" ref="EF10:EF14" si="153">DT10</f>
        <v>0</v>
      </c>
      <c r="EG10" s="52">
        <f t="shared" ref="EG10:EG14" si="154">DU10</f>
        <v>0</v>
      </c>
      <c r="EH10" s="52">
        <f t="shared" ref="EH10:EH14" si="155">DV10</f>
        <v>0</v>
      </c>
      <c r="EI10" s="52">
        <f t="shared" ref="EI10:EI14" si="156">DW10</f>
        <v>0</v>
      </c>
      <c r="EJ10" s="52">
        <f t="shared" ref="EJ10:EJ14" si="157">DX10</f>
        <v>4000</v>
      </c>
      <c r="EK10" s="52">
        <f t="shared" ref="EK10:EK14" si="158">DY10</f>
        <v>4000</v>
      </c>
      <c r="EL10" s="52">
        <f t="shared" ref="EL10:EL14" si="159">DZ10</f>
        <v>4000</v>
      </c>
      <c r="EM10" s="52">
        <f t="shared" ref="EM10:EM14" si="160">EA10</f>
        <v>4000</v>
      </c>
      <c r="EN10" s="52">
        <f t="shared" ref="EN10:EN14" si="161">EB10</f>
        <v>4000</v>
      </c>
      <c r="EO10" s="52">
        <f t="shared" ref="EO10:EO14" si="162">EC10</f>
        <v>4000</v>
      </c>
      <c r="EP10" s="52">
        <f t="shared" ref="EP10:EP14" si="163">ED10</f>
        <v>0</v>
      </c>
      <c r="EQ10" s="52">
        <f t="shared" ref="EQ10:EQ14" si="164">EE10</f>
        <v>0</v>
      </c>
      <c r="ER10" s="52">
        <f t="shared" ref="ER10:ER14" si="165">EF10</f>
        <v>0</v>
      </c>
      <c r="ES10" s="52">
        <f t="shared" ref="ES10:ES14" si="166">EG10</f>
        <v>0</v>
      </c>
      <c r="ET10" s="52">
        <f t="shared" ref="ET10:ET14" si="167">EH10</f>
        <v>0</v>
      </c>
      <c r="EU10" s="52">
        <f t="shared" ref="EU10:EU14" si="168">EI10</f>
        <v>0</v>
      </c>
      <c r="EV10" s="52">
        <f t="shared" ref="EV10:EV14" si="169">EJ10</f>
        <v>4000</v>
      </c>
      <c r="EW10" s="52">
        <f t="shared" ref="EW10:EW14" si="170">EK10</f>
        <v>4000</v>
      </c>
      <c r="EX10" s="52">
        <f t="shared" ref="EX10:EX14" si="171">EL10</f>
        <v>4000</v>
      </c>
      <c r="EY10" s="52">
        <f t="shared" ref="EY10:EY14" si="172">EM10</f>
        <v>4000</v>
      </c>
      <c r="EZ10" s="52">
        <f t="shared" ref="EZ10:EZ14" si="173">EN10</f>
        <v>4000</v>
      </c>
      <c r="FA10" s="52">
        <f t="shared" ref="FA10:FA14" si="174">EO10</f>
        <v>4000</v>
      </c>
      <c r="FB10" s="52">
        <f t="shared" ref="FB10:FB14" si="175">EP10</f>
        <v>0</v>
      </c>
      <c r="FC10" s="52">
        <f t="shared" ref="FC10:FC14" si="176">EQ10</f>
        <v>0</v>
      </c>
      <c r="FD10" s="52">
        <f t="shared" ref="FD10:FD14" si="177">ER10</f>
        <v>0</v>
      </c>
      <c r="FE10" s="52">
        <f t="shared" ref="FE10:FE14" si="178">ES10</f>
        <v>0</v>
      </c>
      <c r="FF10" s="52">
        <f t="shared" ref="FF10:FF14" si="179">ET10</f>
        <v>0</v>
      </c>
      <c r="FG10" s="52">
        <f t="shared" ref="FG10:FG14" si="180">EU10</f>
        <v>0</v>
      </c>
      <c r="FH10" s="52">
        <f t="shared" ref="FH10:FH14" si="181">EV10</f>
        <v>4000</v>
      </c>
      <c r="FI10" s="52">
        <f t="shared" ref="FI10:FI14" si="182">EW10</f>
        <v>4000</v>
      </c>
      <c r="FJ10" s="52">
        <f t="shared" ref="FJ10:FJ14" si="183">EX10</f>
        <v>4000</v>
      </c>
      <c r="FK10" s="52">
        <f t="shared" ref="FK10:FK14" si="184">EY10</f>
        <v>4000</v>
      </c>
      <c r="FL10" s="52">
        <f t="shared" ref="FL10:FL14" si="185">EZ10</f>
        <v>4000</v>
      </c>
      <c r="FM10" s="52">
        <f t="shared" ref="FM10:FM14" si="186">FA10</f>
        <v>4000</v>
      </c>
      <c r="FN10" s="52">
        <f t="shared" ref="FN10:FN14" si="187">FB10</f>
        <v>0</v>
      </c>
      <c r="FO10" s="52">
        <f t="shared" ref="FO10:FO14" si="188">FC10</f>
        <v>0</v>
      </c>
    </row>
    <row r="11" spans="1:171">
      <c r="A11" s="87" t="s">
        <v>144</v>
      </c>
      <c r="B11" s="52">
        <f>Предпосылки!B44/3</f>
        <v>2133.3333333333335</v>
      </c>
      <c r="C11" s="52">
        <f t="shared" ref="C11:D13" si="189">B11</f>
        <v>2133.3333333333335</v>
      </c>
      <c r="D11" s="52">
        <f t="shared" si="189"/>
        <v>2133.3333333333335</v>
      </c>
      <c r="E11" s="52">
        <v>0</v>
      </c>
      <c r="F11" s="52">
        <v>0</v>
      </c>
      <c r="G11" s="52">
        <v>0</v>
      </c>
      <c r="H11" s="52">
        <f t="shared" ref="H11:H13" si="190">B11/2</f>
        <v>1066.6666666666667</v>
      </c>
      <c r="I11" s="52">
        <f t="shared" si="41"/>
        <v>1066.6666666666667</v>
      </c>
      <c r="J11" s="52">
        <f t="shared" si="41"/>
        <v>1066.6666666666667</v>
      </c>
      <c r="K11" s="52">
        <f t="shared" ref="K11:K13" si="191">H11</f>
        <v>1066.6666666666667</v>
      </c>
      <c r="L11" s="52">
        <f t="shared" ref="L11:L13" si="192">I11</f>
        <v>1066.6666666666667</v>
      </c>
      <c r="M11" s="52">
        <f t="shared" ref="M11:M13" si="193">J11</f>
        <v>1066.6666666666667</v>
      </c>
      <c r="N11" s="52">
        <f t="shared" ref="N11:N14" si="194">H23</f>
        <v>0</v>
      </c>
      <c r="O11" s="52">
        <f t="shared" si="43"/>
        <v>0</v>
      </c>
      <c r="P11" s="52">
        <f t="shared" si="43"/>
        <v>0</v>
      </c>
      <c r="Q11" s="52">
        <f t="shared" si="43"/>
        <v>0</v>
      </c>
      <c r="R11" s="52">
        <f t="shared" si="43"/>
        <v>0</v>
      </c>
      <c r="S11" s="52">
        <f t="shared" si="43"/>
        <v>0</v>
      </c>
      <c r="T11" s="52">
        <f t="shared" ref="T11:T14" si="195">H11</f>
        <v>1066.6666666666667</v>
      </c>
      <c r="U11" s="52">
        <f t="shared" si="44"/>
        <v>1066.6666666666667</v>
      </c>
      <c r="V11" s="52">
        <f t="shared" si="44"/>
        <v>1066.6666666666667</v>
      </c>
      <c r="W11" s="52">
        <f t="shared" si="44"/>
        <v>1066.6666666666667</v>
      </c>
      <c r="X11" s="52">
        <f t="shared" si="44"/>
        <v>1066.6666666666667</v>
      </c>
      <c r="Y11" s="52">
        <f t="shared" si="44"/>
        <v>1066.6666666666667</v>
      </c>
      <c r="Z11" s="52">
        <f t="shared" si="44"/>
        <v>0</v>
      </c>
      <c r="AA11" s="52">
        <f t="shared" si="44"/>
        <v>0</v>
      </c>
      <c r="AB11" s="52">
        <f t="shared" si="45"/>
        <v>0</v>
      </c>
      <c r="AC11" s="52">
        <f t="shared" si="46"/>
        <v>0</v>
      </c>
      <c r="AD11" s="52">
        <f t="shared" si="47"/>
        <v>0</v>
      </c>
      <c r="AE11" s="52">
        <f t="shared" si="48"/>
        <v>0</v>
      </c>
      <c r="AF11" s="52">
        <f t="shared" si="49"/>
        <v>1066.6666666666667</v>
      </c>
      <c r="AG11" s="52">
        <f t="shared" si="50"/>
        <v>1066.6666666666667</v>
      </c>
      <c r="AH11" s="52">
        <f t="shared" si="51"/>
        <v>1066.6666666666667</v>
      </c>
      <c r="AI11" s="52">
        <f t="shared" si="52"/>
        <v>1066.6666666666667</v>
      </c>
      <c r="AJ11" s="52">
        <f t="shared" si="53"/>
        <v>1066.6666666666667</v>
      </c>
      <c r="AK11" s="52">
        <f t="shared" si="54"/>
        <v>1066.6666666666667</v>
      </c>
      <c r="AL11" s="52">
        <f t="shared" si="55"/>
        <v>0</v>
      </c>
      <c r="AM11" s="52">
        <f t="shared" si="56"/>
        <v>0</v>
      </c>
      <c r="AN11" s="52">
        <f t="shared" si="57"/>
        <v>0</v>
      </c>
      <c r="AO11" s="52">
        <f t="shared" si="58"/>
        <v>0</v>
      </c>
      <c r="AP11" s="52">
        <f t="shared" si="59"/>
        <v>0</v>
      </c>
      <c r="AQ11" s="52">
        <f t="shared" si="60"/>
        <v>0</v>
      </c>
      <c r="AR11" s="52">
        <f t="shared" si="61"/>
        <v>1066.6666666666667</v>
      </c>
      <c r="AS11" s="52">
        <f t="shared" si="62"/>
        <v>1066.6666666666667</v>
      </c>
      <c r="AT11" s="52">
        <f t="shared" si="63"/>
        <v>1066.6666666666667</v>
      </c>
      <c r="AU11" s="52">
        <f t="shared" si="64"/>
        <v>1066.6666666666667</v>
      </c>
      <c r="AV11" s="52">
        <f t="shared" si="65"/>
        <v>1066.6666666666667</v>
      </c>
      <c r="AW11" s="52">
        <f t="shared" si="66"/>
        <v>1066.6666666666667</v>
      </c>
      <c r="AX11" s="52">
        <f t="shared" si="67"/>
        <v>0</v>
      </c>
      <c r="AY11" s="52">
        <f t="shared" si="68"/>
        <v>0</v>
      </c>
      <c r="AZ11" s="52">
        <f t="shared" si="69"/>
        <v>0</v>
      </c>
      <c r="BA11" s="52">
        <f t="shared" si="70"/>
        <v>0</v>
      </c>
      <c r="BB11" s="52">
        <f t="shared" si="71"/>
        <v>0</v>
      </c>
      <c r="BC11" s="52">
        <f t="shared" si="72"/>
        <v>0</v>
      </c>
      <c r="BD11" s="52">
        <f t="shared" si="73"/>
        <v>1066.6666666666667</v>
      </c>
      <c r="BE11" s="52">
        <f t="shared" si="74"/>
        <v>1066.6666666666667</v>
      </c>
      <c r="BF11" s="52">
        <f t="shared" si="75"/>
        <v>1066.6666666666667</v>
      </c>
      <c r="BG11" s="52">
        <f t="shared" si="76"/>
        <v>1066.6666666666667</v>
      </c>
      <c r="BH11" s="52">
        <f t="shared" si="77"/>
        <v>1066.6666666666667</v>
      </c>
      <c r="BI11" s="52">
        <f t="shared" si="78"/>
        <v>1066.6666666666667</v>
      </c>
      <c r="BJ11" s="52">
        <f t="shared" si="79"/>
        <v>0</v>
      </c>
      <c r="BK11" s="52">
        <f t="shared" si="80"/>
        <v>0</v>
      </c>
      <c r="BL11" s="52">
        <f t="shared" si="81"/>
        <v>0</v>
      </c>
      <c r="BM11" s="52">
        <f t="shared" si="82"/>
        <v>0</v>
      </c>
      <c r="BN11" s="52">
        <f t="shared" si="83"/>
        <v>0</v>
      </c>
      <c r="BO11" s="52">
        <f t="shared" si="84"/>
        <v>0</v>
      </c>
      <c r="BP11" s="52">
        <f t="shared" si="85"/>
        <v>1066.6666666666667</v>
      </c>
      <c r="BQ11" s="52">
        <f t="shared" si="86"/>
        <v>1066.6666666666667</v>
      </c>
      <c r="BR11" s="52">
        <f t="shared" si="87"/>
        <v>1066.6666666666667</v>
      </c>
      <c r="BS11" s="52">
        <f t="shared" si="88"/>
        <v>1066.6666666666667</v>
      </c>
      <c r="BT11" s="52">
        <f t="shared" si="89"/>
        <v>1066.6666666666667</v>
      </c>
      <c r="BU11" s="52">
        <f t="shared" si="90"/>
        <v>1066.6666666666667</v>
      </c>
      <c r="BV11" s="52">
        <f t="shared" si="91"/>
        <v>0</v>
      </c>
      <c r="BW11" s="52">
        <f t="shared" si="92"/>
        <v>0</v>
      </c>
      <c r="BX11" s="52">
        <f t="shared" si="93"/>
        <v>0</v>
      </c>
      <c r="BY11" s="52">
        <f t="shared" si="94"/>
        <v>0</v>
      </c>
      <c r="BZ11" s="52">
        <f t="shared" si="95"/>
        <v>0</v>
      </c>
      <c r="CA11" s="52">
        <f t="shared" si="96"/>
        <v>0</v>
      </c>
      <c r="CB11" s="52">
        <f t="shared" si="97"/>
        <v>1066.6666666666667</v>
      </c>
      <c r="CC11" s="52">
        <f t="shared" si="98"/>
        <v>1066.6666666666667</v>
      </c>
      <c r="CD11" s="52">
        <f t="shared" si="99"/>
        <v>1066.6666666666667</v>
      </c>
      <c r="CE11" s="52">
        <f t="shared" si="100"/>
        <v>1066.6666666666667</v>
      </c>
      <c r="CF11" s="52">
        <f t="shared" si="101"/>
        <v>1066.6666666666667</v>
      </c>
      <c r="CG11" s="52">
        <f t="shared" si="102"/>
        <v>1066.6666666666667</v>
      </c>
      <c r="CH11" s="52">
        <f t="shared" si="103"/>
        <v>0</v>
      </c>
      <c r="CI11" s="52">
        <f t="shared" si="104"/>
        <v>0</v>
      </c>
      <c r="CJ11" s="52">
        <f t="shared" si="105"/>
        <v>0</v>
      </c>
      <c r="CK11" s="52">
        <f t="shared" si="106"/>
        <v>0</v>
      </c>
      <c r="CL11" s="52">
        <f t="shared" si="107"/>
        <v>0</v>
      </c>
      <c r="CM11" s="52">
        <f t="shared" si="108"/>
        <v>0</v>
      </c>
      <c r="CN11" s="52">
        <f t="shared" si="109"/>
        <v>1066.6666666666667</v>
      </c>
      <c r="CO11" s="52">
        <f t="shared" si="110"/>
        <v>1066.6666666666667</v>
      </c>
      <c r="CP11" s="52">
        <f t="shared" si="111"/>
        <v>1066.6666666666667</v>
      </c>
      <c r="CQ11" s="52">
        <f t="shared" si="112"/>
        <v>1066.6666666666667</v>
      </c>
      <c r="CR11" s="52">
        <f t="shared" si="113"/>
        <v>1066.6666666666667</v>
      </c>
      <c r="CS11" s="52">
        <f t="shared" si="114"/>
        <v>1066.6666666666667</v>
      </c>
      <c r="CT11" s="52">
        <f t="shared" si="115"/>
        <v>0</v>
      </c>
      <c r="CU11" s="52">
        <f t="shared" si="116"/>
        <v>0</v>
      </c>
      <c r="CV11" s="52">
        <f t="shared" si="117"/>
        <v>0</v>
      </c>
      <c r="CW11" s="52">
        <f t="shared" si="118"/>
        <v>0</v>
      </c>
      <c r="CX11" s="52">
        <f t="shared" si="119"/>
        <v>0</v>
      </c>
      <c r="CY11" s="52">
        <f t="shared" si="120"/>
        <v>0</v>
      </c>
      <c r="CZ11" s="52">
        <f t="shared" si="121"/>
        <v>1066.6666666666667</v>
      </c>
      <c r="DA11" s="52">
        <f t="shared" si="122"/>
        <v>1066.6666666666667</v>
      </c>
      <c r="DB11" s="52">
        <f t="shared" si="123"/>
        <v>1066.6666666666667</v>
      </c>
      <c r="DC11" s="52">
        <f t="shared" si="124"/>
        <v>1066.6666666666667</v>
      </c>
      <c r="DD11" s="52">
        <f t="shared" si="125"/>
        <v>1066.6666666666667</v>
      </c>
      <c r="DE11" s="52">
        <f t="shared" si="126"/>
        <v>1066.6666666666667</v>
      </c>
      <c r="DF11" s="52">
        <f t="shared" si="127"/>
        <v>0</v>
      </c>
      <c r="DG11" s="52">
        <f t="shared" si="128"/>
        <v>0</v>
      </c>
      <c r="DH11" s="52">
        <f t="shared" si="129"/>
        <v>0</v>
      </c>
      <c r="DI11" s="52">
        <f t="shared" si="130"/>
        <v>0</v>
      </c>
      <c r="DJ11" s="52">
        <f t="shared" si="131"/>
        <v>0</v>
      </c>
      <c r="DK11" s="52">
        <f t="shared" si="132"/>
        <v>0</v>
      </c>
      <c r="DL11" s="52">
        <f t="shared" si="133"/>
        <v>1066.6666666666667</v>
      </c>
      <c r="DM11" s="52">
        <f t="shared" si="134"/>
        <v>1066.6666666666667</v>
      </c>
      <c r="DN11" s="52">
        <f t="shared" si="135"/>
        <v>1066.6666666666667</v>
      </c>
      <c r="DO11" s="52">
        <f t="shared" si="136"/>
        <v>1066.6666666666667</v>
      </c>
      <c r="DP11" s="52">
        <f t="shared" si="137"/>
        <v>1066.6666666666667</v>
      </c>
      <c r="DQ11" s="52">
        <f t="shared" si="138"/>
        <v>1066.6666666666667</v>
      </c>
      <c r="DR11" s="52">
        <f t="shared" si="139"/>
        <v>0</v>
      </c>
      <c r="DS11" s="52">
        <f t="shared" si="140"/>
        <v>0</v>
      </c>
      <c r="DT11" s="52">
        <f t="shared" si="141"/>
        <v>0</v>
      </c>
      <c r="DU11" s="52">
        <f t="shared" si="142"/>
        <v>0</v>
      </c>
      <c r="DV11" s="52">
        <f t="shared" si="143"/>
        <v>0</v>
      </c>
      <c r="DW11" s="52">
        <f t="shared" si="144"/>
        <v>0</v>
      </c>
      <c r="DX11" s="52">
        <f t="shared" si="145"/>
        <v>1066.6666666666667</v>
      </c>
      <c r="DY11" s="52">
        <f t="shared" si="146"/>
        <v>1066.6666666666667</v>
      </c>
      <c r="DZ11" s="52">
        <f t="shared" si="147"/>
        <v>1066.6666666666667</v>
      </c>
      <c r="EA11" s="52">
        <f t="shared" si="148"/>
        <v>1066.6666666666667</v>
      </c>
      <c r="EB11" s="52">
        <f t="shared" si="149"/>
        <v>1066.6666666666667</v>
      </c>
      <c r="EC11" s="52">
        <f t="shared" si="150"/>
        <v>1066.6666666666667</v>
      </c>
      <c r="ED11" s="52">
        <f t="shared" si="151"/>
        <v>0</v>
      </c>
      <c r="EE11" s="52">
        <f t="shared" si="152"/>
        <v>0</v>
      </c>
      <c r="EF11" s="52">
        <f t="shared" si="153"/>
        <v>0</v>
      </c>
      <c r="EG11" s="52">
        <f t="shared" si="154"/>
        <v>0</v>
      </c>
      <c r="EH11" s="52">
        <f t="shared" si="155"/>
        <v>0</v>
      </c>
      <c r="EI11" s="52">
        <f t="shared" si="156"/>
        <v>0</v>
      </c>
      <c r="EJ11" s="52">
        <f t="shared" si="157"/>
        <v>1066.6666666666667</v>
      </c>
      <c r="EK11" s="52">
        <f t="shared" si="158"/>
        <v>1066.6666666666667</v>
      </c>
      <c r="EL11" s="52">
        <f t="shared" si="159"/>
        <v>1066.6666666666667</v>
      </c>
      <c r="EM11" s="52">
        <f t="shared" si="160"/>
        <v>1066.6666666666667</v>
      </c>
      <c r="EN11" s="52">
        <f t="shared" si="161"/>
        <v>1066.6666666666667</v>
      </c>
      <c r="EO11" s="52">
        <f t="shared" si="162"/>
        <v>1066.6666666666667</v>
      </c>
      <c r="EP11" s="52">
        <f t="shared" si="163"/>
        <v>0</v>
      </c>
      <c r="EQ11" s="52">
        <f t="shared" si="164"/>
        <v>0</v>
      </c>
      <c r="ER11" s="52">
        <f t="shared" si="165"/>
        <v>0</v>
      </c>
      <c r="ES11" s="52">
        <f t="shared" si="166"/>
        <v>0</v>
      </c>
      <c r="ET11" s="52">
        <f t="shared" si="167"/>
        <v>0</v>
      </c>
      <c r="EU11" s="52">
        <f t="shared" si="168"/>
        <v>0</v>
      </c>
      <c r="EV11" s="52">
        <f t="shared" si="169"/>
        <v>1066.6666666666667</v>
      </c>
      <c r="EW11" s="52">
        <f t="shared" si="170"/>
        <v>1066.6666666666667</v>
      </c>
      <c r="EX11" s="52">
        <f t="shared" si="171"/>
        <v>1066.6666666666667</v>
      </c>
      <c r="EY11" s="52">
        <f t="shared" si="172"/>
        <v>1066.6666666666667</v>
      </c>
      <c r="EZ11" s="52">
        <f t="shared" si="173"/>
        <v>1066.6666666666667</v>
      </c>
      <c r="FA11" s="52">
        <f t="shared" si="174"/>
        <v>1066.6666666666667</v>
      </c>
      <c r="FB11" s="52">
        <f t="shared" si="175"/>
        <v>0</v>
      </c>
      <c r="FC11" s="52">
        <f t="shared" si="176"/>
        <v>0</v>
      </c>
      <c r="FD11" s="52">
        <f t="shared" si="177"/>
        <v>0</v>
      </c>
      <c r="FE11" s="52">
        <f t="shared" si="178"/>
        <v>0</v>
      </c>
      <c r="FF11" s="52">
        <f t="shared" si="179"/>
        <v>0</v>
      </c>
      <c r="FG11" s="52">
        <f t="shared" si="180"/>
        <v>0</v>
      </c>
      <c r="FH11" s="52">
        <f t="shared" si="181"/>
        <v>1066.6666666666667</v>
      </c>
      <c r="FI11" s="52">
        <f t="shared" si="182"/>
        <v>1066.6666666666667</v>
      </c>
      <c r="FJ11" s="52">
        <f t="shared" si="183"/>
        <v>1066.6666666666667</v>
      </c>
      <c r="FK11" s="52">
        <f t="shared" si="184"/>
        <v>1066.6666666666667</v>
      </c>
      <c r="FL11" s="52">
        <f t="shared" si="185"/>
        <v>1066.6666666666667</v>
      </c>
      <c r="FM11" s="52">
        <f t="shared" si="186"/>
        <v>1066.6666666666667</v>
      </c>
      <c r="FN11" s="52">
        <f t="shared" si="187"/>
        <v>0</v>
      </c>
      <c r="FO11" s="52">
        <f t="shared" si="188"/>
        <v>0</v>
      </c>
    </row>
    <row r="12" spans="1:171">
      <c r="A12" s="87" t="s">
        <v>145</v>
      </c>
      <c r="B12" s="52">
        <f>Предпосылки!B45/3</f>
        <v>2133.3333333333335</v>
      </c>
      <c r="C12" s="52">
        <f t="shared" si="189"/>
        <v>2133.3333333333335</v>
      </c>
      <c r="D12" s="52">
        <f t="shared" si="189"/>
        <v>2133.3333333333335</v>
      </c>
      <c r="E12" s="52">
        <v>0</v>
      </c>
      <c r="F12" s="52">
        <v>0</v>
      </c>
      <c r="G12" s="52">
        <v>0</v>
      </c>
      <c r="H12" s="52">
        <f t="shared" si="190"/>
        <v>1066.6666666666667</v>
      </c>
      <c r="I12" s="52">
        <f t="shared" si="41"/>
        <v>1066.6666666666667</v>
      </c>
      <c r="J12" s="52">
        <f t="shared" si="41"/>
        <v>1066.6666666666667</v>
      </c>
      <c r="K12" s="52">
        <f t="shared" si="191"/>
        <v>1066.6666666666667</v>
      </c>
      <c r="L12" s="52">
        <f t="shared" si="192"/>
        <v>1066.6666666666667</v>
      </c>
      <c r="M12" s="52">
        <f t="shared" si="193"/>
        <v>1066.6666666666667</v>
      </c>
      <c r="N12" s="52">
        <f t="shared" si="194"/>
        <v>0</v>
      </c>
      <c r="O12" s="52">
        <f t="shared" si="43"/>
        <v>0</v>
      </c>
      <c r="P12" s="52">
        <f t="shared" si="43"/>
        <v>0</v>
      </c>
      <c r="Q12" s="52">
        <f t="shared" si="43"/>
        <v>0</v>
      </c>
      <c r="R12" s="52">
        <f t="shared" si="43"/>
        <v>0</v>
      </c>
      <c r="S12" s="52">
        <f t="shared" si="43"/>
        <v>0</v>
      </c>
      <c r="T12" s="52">
        <f t="shared" si="195"/>
        <v>1066.6666666666667</v>
      </c>
      <c r="U12" s="52">
        <f t="shared" si="44"/>
        <v>1066.6666666666667</v>
      </c>
      <c r="V12" s="52">
        <f t="shared" si="44"/>
        <v>1066.6666666666667</v>
      </c>
      <c r="W12" s="52">
        <f t="shared" si="44"/>
        <v>1066.6666666666667</v>
      </c>
      <c r="X12" s="52">
        <f t="shared" si="44"/>
        <v>1066.6666666666667</v>
      </c>
      <c r="Y12" s="52">
        <f t="shared" si="44"/>
        <v>1066.6666666666667</v>
      </c>
      <c r="Z12" s="52">
        <f t="shared" si="44"/>
        <v>0</v>
      </c>
      <c r="AA12" s="52">
        <f t="shared" si="44"/>
        <v>0</v>
      </c>
      <c r="AB12" s="52">
        <f t="shared" si="45"/>
        <v>0</v>
      </c>
      <c r="AC12" s="52">
        <f t="shared" si="46"/>
        <v>0</v>
      </c>
      <c r="AD12" s="52">
        <f t="shared" si="47"/>
        <v>0</v>
      </c>
      <c r="AE12" s="52">
        <f t="shared" si="48"/>
        <v>0</v>
      </c>
      <c r="AF12" s="52">
        <f t="shared" si="49"/>
        <v>1066.6666666666667</v>
      </c>
      <c r="AG12" s="52">
        <f t="shared" si="50"/>
        <v>1066.6666666666667</v>
      </c>
      <c r="AH12" s="52">
        <f t="shared" si="51"/>
        <v>1066.6666666666667</v>
      </c>
      <c r="AI12" s="52">
        <f t="shared" si="52"/>
        <v>1066.6666666666667</v>
      </c>
      <c r="AJ12" s="52">
        <f t="shared" si="53"/>
        <v>1066.6666666666667</v>
      </c>
      <c r="AK12" s="52">
        <f t="shared" si="54"/>
        <v>1066.6666666666667</v>
      </c>
      <c r="AL12" s="52">
        <f t="shared" si="55"/>
        <v>0</v>
      </c>
      <c r="AM12" s="52">
        <f t="shared" si="56"/>
        <v>0</v>
      </c>
      <c r="AN12" s="52">
        <f t="shared" si="57"/>
        <v>0</v>
      </c>
      <c r="AO12" s="52">
        <f t="shared" si="58"/>
        <v>0</v>
      </c>
      <c r="AP12" s="52">
        <f t="shared" si="59"/>
        <v>0</v>
      </c>
      <c r="AQ12" s="52">
        <f t="shared" si="60"/>
        <v>0</v>
      </c>
      <c r="AR12" s="52">
        <f t="shared" si="61"/>
        <v>1066.6666666666667</v>
      </c>
      <c r="AS12" s="52">
        <f t="shared" si="62"/>
        <v>1066.6666666666667</v>
      </c>
      <c r="AT12" s="52">
        <f t="shared" si="63"/>
        <v>1066.6666666666667</v>
      </c>
      <c r="AU12" s="52">
        <f t="shared" si="64"/>
        <v>1066.6666666666667</v>
      </c>
      <c r="AV12" s="52">
        <f t="shared" si="65"/>
        <v>1066.6666666666667</v>
      </c>
      <c r="AW12" s="52">
        <f t="shared" si="66"/>
        <v>1066.6666666666667</v>
      </c>
      <c r="AX12" s="52">
        <f t="shared" si="67"/>
        <v>0</v>
      </c>
      <c r="AY12" s="52">
        <f t="shared" si="68"/>
        <v>0</v>
      </c>
      <c r="AZ12" s="52">
        <f t="shared" si="69"/>
        <v>0</v>
      </c>
      <c r="BA12" s="52">
        <f t="shared" si="70"/>
        <v>0</v>
      </c>
      <c r="BB12" s="52">
        <f t="shared" si="71"/>
        <v>0</v>
      </c>
      <c r="BC12" s="52">
        <f t="shared" si="72"/>
        <v>0</v>
      </c>
      <c r="BD12" s="52">
        <f t="shared" si="73"/>
        <v>1066.6666666666667</v>
      </c>
      <c r="BE12" s="52">
        <f t="shared" si="74"/>
        <v>1066.6666666666667</v>
      </c>
      <c r="BF12" s="52">
        <f t="shared" si="75"/>
        <v>1066.6666666666667</v>
      </c>
      <c r="BG12" s="52">
        <f t="shared" si="76"/>
        <v>1066.6666666666667</v>
      </c>
      <c r="BH12" s="52">
        <f t="shared" si="77"/>
        <v>1066.6666666666667</v>
      </c>
      <c r="BI12" s="52">
        <f t="shared" si="78"/>
        <v>1066.6666666666667</v>
      </c>
      <c r="BJ12" s="52">
        <f t="shared" si="79"/>
        <v>0</v>
      </c>
      <c r="BK12" s="52">
        <f t="shared" si="80"/>
        <v>0</v>
      </c>
      <c r="BL12" s="52">
        <f t="shared" si="81"/>
        <v>0</v>
      </c>
      <c r="BM12" s="52">
        <f t="shared" si="82"/>
        <v>0</v>
      </c>
      <c r="BN12" s="52">
        <f t="shared" si="83"/>
        <v>0</v>
      </c>
      <c r="BO12" s="52">
        <f t="shared" si="84"/>
        <v>0</v>
      </c>
      <c r="BP12" s="52">
        <f t="shared" si="85"/>
        <v>1066.6666666666667</v>
      </c>
      <c r="BQ12" s="52">
        <f t="shared" si="86"/>
        <v>1066.6666666666667</v>
      </c>
      <c r="BR12" s="52">
        <f t="shared" si="87"/>
        <v>1066.6666666666667</v>
      </c>
      <c r="BS12" s="52">
        <f t="shared" si="88"/>
        <v>1066.6666666666667</v>
      </c>
      <c r="BT12" s="52">
        <f t="shared" si="89"/>
        <v>1066.6666666666667</v>
      </c>
      <c r="BU12" s="52">
        <f t="shared" si="90"/>
        <v>1066.6666666666667</v>
      </c>
      <c r="BV12" s="52">
        <f t="shared" si="91"/>
        <v>0</v>
      </c>
      <c r="BW12" s="52">
        <f t="shared" si="92"/>
        <v>0</v>
      </c>
      <c r="BX12" s="52">
        <f t="shared" si="93"/>
        <v>0</v>
      </c>
      <c r="BY12" s="52">
        <f t="shared" si="94"/>
        <v>0</v>
      </c>
      <c r="BZ12" s="52">
        <f t="shared" si="95"/>
        <v>0</v>
      </c>
      <c r="CA12" s="52">
        <f t="shared" si="96"/>
        <v>0</v>
      </c>
      <c r="CB12" s="52">
        <f t="shared" si="97"/>
        <v>1066.6666666666667</v>
      </c>
      <c r="CC12" s="52">
        <f t="shared" si="98"/>
        <v>1066.6666666666667</v>
      </c>
      <c r="CD12" s="52">
        <f t="shared" si="99"/>
        <v>1066.6666666666667</v>
      </c>
      <c r="CE12" s="52">
        <f t="shared" si="100"/>
        <v>1066.6666666666667</v>
      </c>
      <c r="CF12" s="52">
        <f t="shared" si="101"/>
        <v>1066.6666666666667</v>
      </c>
      <c r="CG12" s="52">
        <f t="shared" si="102"/>
        <v>1066.6666666666667</v>
      </c>
      <c r="CH12" s="52">
        <f t="shared" si="103"/>
        <v>0</v>
      </c>
      <c r="CI12" s="52">
        <f t="shared" si="104"/>
        <v>0</v>
      </c>
      <c r="CJ12" s="52">
        <f t="shared" si="105"/>
        <v>0</v>
      </c>
      <c r="CK12" s="52">
        <f t="shared" si="106"/>
        <v>0</v>
      </c>
      <c r="CL12" s="52">
        <f t="shared" si="107"/>
        <v>0</v>
      </c>
      <c r="CM12" s="52">
        <f t="shared" si="108"/>
        <v>0</v>
      </c>
      <c r="CN12" s="52">
        <f t="shared" si="109"/>
        <v>1066.6666666666667</v>
      </c>
      <c r="CO12" s="52">
        <f t="shared" si="110"/>
        <v>1066.6666666666667</v>
      </c>
      <c r="CP12" s="52">
        <f t="shared" si="111"/>
        <v>1066.6666666666667</v>
      </c>
      <c r="CQ12" s="52">
        <f t="shared" si="112"/>
        <v>1066.6666666666667</v>
      </c>
      <c r="CR12" s="52">
        <f t="shared" si="113"/>
        <v>1066.6666666666667</v>
      </c>
      <c r="CS12" s="52">
        <f t="shared" si="114"/>
        <v>1066.6666666666667</v>
      </c>
      <c r="CT12" s="52">
        <f t="shared" si="115"/>
        <v>0</v>
      </c>
      <c r="CU12" s="52">
        <f t="shared" si="116"/>
        <v>0</v>
      </c>
      <c r="CV12" s="52">
        <f t="shared" si="117"/>
        <v>0</v>
      </c>
      <c r="CW12" s="52">
        <f t="shared" si="118"/>
        <v>0</v>
      </c>
      <c r="CX12" s="52">
        <f t="shared" si="119"/>
        <v>0</v>
      </c>
      <c r="CY12" s="52">
        <f t="shared" si="120"/>
        <v>0</v>
      </c>
      <c r="CZ12" s="52">
        <f t="shared" si="121"/>
        <v>1066.6666666666667</v>
      </c>
      <c r="DA12" s="52">
        <f t="shared" si="122"/>
        <v>1066.6666666666667</v>
      </c>
      <c r="DB12" s="52">
        <f t="shared" si="123"/>
        <v>1066.6666666666667</v>
      </c>
      <c r="DC12" s="52">
        <f t="shared" si="124"/>
        <v>1066.6666666666667</v>
      </c>
      <c r="DD12" s="52">
        <f t="shared" si="125"/>
        <v>1066.6666666666667</v>
      </c>
      <c r="DE12" s="52">
        <f t="shared" si="126"/>
        <v>1066.6666666666667</v>
      </c>
      <c r="DF12" s="52">
        <f t="shared" si="127"/>
        <v>0</v>
      </c>
      <c r="DG12" s="52">
        <f t="shared" si="128"/>
        <v>0</v>
      </c>
      <c r="DH12" s="52">
        <f t="shared" si="129"/>
        <v>0</v>
      </c>
      <c r="DI12" s="52">
        <f t="shared" si="130"/>
        <v>0</v>
      </c>
      <c r="DJ12" s="52">
        <f t="shared" si="131"/>
        <v>0</v>
      </c>
      <c r="DK12" s="52">
        <f t="shared" si="132"/>
        <v>0</v>
      </c>
      <c r="DL12" s="52">
        <f t="shared" si="133"/>
        <v>1066.6666666666667</v>
      </c>
      <c r="DM12" s="52">
        <f t="shared" si="134"/>
        <v>1066.6666666666667</v>
      </c>
      <c r="DN12" s="52">
        <f t="shared" si="135"/>
        <v>1066.6666666666667</v>
      </c>
      <c r="DO12" s="52">
        <f t="shared" si="136"/>
        <v>1066.6666666666667</v>
      </c>
      <c r="DP12" s="52">
        <f t="shared" si="137"/>
        <v>1066.6666666666667</v>
      </c>
      <c r="DQ12" s="52">
        <f t="shared" si="138"/>
        <v>1066.6666666666667</v>
      </c>
      <c r="DR12" s="52">
        <f t="shared" si="139"/>
        <v>0</v>
      </c>
      <c r="DS12" s="52">
        <f t="shared" si="140"/>
        <v>0</v>
      </c>
      <c r="DT12" s="52">
        <f t="shared" si="141"/>
        <v>0</v>
      </c>
      <c r="DU12" s="52">
        <f t="shared" si="142"/>
        <v>0</v>
      </c>
      <c r="DV12" s="52">
        <f t="shared" si="143"/>
        <v>0</v>
      </c>
      <c r="DW12" s="52">
        <f t="shared" si="144"/>
        <v>0</v>
      </c>
      <c r="DX12" s="52">
        <f t="shared" si="145"/>
        <v>1066.6666666666667</v>
      </c>
      <c r="DY12" s="52">
        <f t="shared" si="146"/>
        <v>1066.6666666666667</v>
      </c>
      <c r="DZ12" s="52">
        <f t="shared" si="147"/>
        <v>1066.6666666666667</v>
      </c>
      <c r="EA12" s="52">
        <f t="shared" si="148"/>
        <v>1066.6666666666667</v>
      </c>
      <c r="EB12" s="52">
        <f t="shared" si="149"/>
        <v>1066.6666666666667</v>
      </c>
      <c r="EC12" s="52">
        <f t="shared" si="150"/>
        <v>1066.6666666666667</v>
      </c>
      <c r="ED12" s="52">
        <f t="shared" si="151"/>
        <v>0</v>
      </c>
      <c r="EE12" s="52">
        <f t="shared" si="152"/>
        <v>0</v>
      </c>
      <c r="EF12" s="52">
        <f t="shared" si="153"/>
        <v>0</v>
      </c>
      <c r="EG12" s="52">
        <f t="shared" si="154"/>
        <v>0</v>
      </c>
      <c r="EH12" s="52">
        <f t="shared" si="155"/>
        <v>0</v>
      </c>
      <c r="EI12" s="52">
        <f t="shared" si="156"/>
        <v>0</v>
      </c>
      <c r="EJ12" s="52">
        <f t="shared" si="157"/>
        <v>1066.6666666666667</v>
      </c>
      <c r="EK12" s="52">
        <f t="shared" si="158"/>
        <v>1066.6666666666667</v>
      </c>
      <c r="EL12" s="52">
        <f t="shared" si="159"/>
        <v>1066.6666666666667</v>
      </c>
      <c r="EM12" s="52">
        <f t="shared" si="160"/>
        <v>1066.6666666666667</v>
      </c>
      <c r="EN12" s="52">
        <f t="shared" si="161"/>
        <v>1066.6666666666667</v>
      </c>
      <c r="EO12" s="52">
        <f t="shared" si="162"/>
        <v>1066.6666666666667</v>
      </c>
      <c r="EP12" s="52">
        <f t="shared" si="163"/>
        <v>0</v>
      </c>
      <c r="EQ12" s="52">
        <f t="shared" si="164"/>
        <v>0</v>
      </c>
      <c r="ER12" s="52">
        <f t="shared" si="165"/>
        <v>0</v>
      </c>
      <c r="ES12" s="52">
        <f t="shared" si="166"/>
        <v>0</v>
      </c>
      <c r="ET12" s="52">
        <f t="shared" si="167"/>
        <v>0</v>
      </c>
      <c r="EU12" s="52">
        <f t="shared" si="168"/>
        <v>0</v>
      </c>
      <c r="EV12" s="52">
        <f t="shared" si="169"/>
        <v>1066.6666666666667</v>
      </c>
      <c r="EW12" s="52">
        <f t="shared" si="170"/>
        <v>1066.6666666666667</v>
      </c>
      <c r="EX12" s="52">
        <f t="shared" si="171"/>
        <v>1066.6666666666667</v>
      </c>
      <c r="EY12" s="52">
        <f t="shared" si="172"/>
        <v>1066.6666666666667</v>
      </c>
      <c r="EZ12" s="52">
        <f t="shared" si="173"/>
        <v>1066.6666666666667</v>
      </c>
      <c r="FA12" s="52">
        <f t="shared" si="174"/>
        <v>1066.6666666666667</v>
      </c>
      <c r="FB12" s="52">
        <f t="shared" si="175"/>
        <v>0</v>
      </c>
      <c r="FC12" s="52">
        <f t="shared" si="176"/>
        <v>0</v>
      </c>
      <c r="FD12" s="52">
        <f t="shared" si="177"/>
        <v>0</v>
      </c>
      <c r="FE12" s="52">
        <f t="shared" si="178"/>
        <v>0</v>
      </c>
      <c r="FF12" s="52">
        <f t="shared" si="179"/>
        <v>0</v>
      </c>
      <c r="FG12" s="52">
        <f t="shared" si="180"/>
        <v>0</v>
      </c>
      <c r="FH12" s="52">
        <f t="shared" si="181"/>
        <v>1066.6666666666667</v>
      </c>
      <c r="FI12" s="52">
        <f t="shared" si="182"/>
        <v>1066.6666666666667</v>
      </c>
      <c r="FJ12" s="52">
        <f t="shared" si="183"/>
        <v>1066.6666666666667</v>
      </c>
      <c r="FK12" s="52">
        <f t="shared" si="184"/>
        <v>1066.6666666666667</v>
      </c>
      <c r="FL12" s="52">
        <f t="shared" si="185"/>
        <v>1066.6666666666667</v>
      </c>
      <c r="FM12" s="52">
        <f t="shared" si="186"/>
        <v>1066.6666666666667</v>
      </c>
      <c r="FN12" s="52">
        <f t="shared" si="187"/>
        <v>0</v>
      </c>
      <c r="FO12" s="52">
        <f t="shared" si="188"/>
        <v>0</v>
      </c>
    </row>
    <row r="13" spans="1:171">
      <c r="A13" s="87" t="s">
        <v>146</v>
      </c>
      <c r="B13" s="52">
        <f>Предпосылки!B46/3</f>
        <v>1066.6666666666667</v>
      </c>
      <c r="C13" s="52">
        <f t="shared" si="189"/>
        <v>1066.6666666666667</v>
      </c>
      <c r="D13" s="52">
        <f t="shared" si="189"/>
        <v>1066.6666666666667</v>
      </c>
      <c r="E13" s="52">
        <v>0</v>
      </c>
      <c r="F13" s="52">
        <v>0</v>
      </c>
      <c r="G13" s="52">
        <v>0</v>
      </c>
      <c r="H13" s="52">
        <f t="shared" si="190"/>
        <v>533.33333333333337</v>
      </c>
      <c r="I13" s="52">
        <f t="shared" si="41"/>
        <v>533.33333333333337</v>
      </c>
      <c r="J13" s="52">
        <f t="shared" si="41"/>
        <v>533.33333333333337</v>
      </c>
      <c r="K13" s="52">
        <f t="shared" si="191"/>
        <v>533.33333333333337</v>
      </c>
      <c r="L13" s="52">
        <f t="shared" si="192"/>
        <v>533.33333333333337</v>
      </c>
      <c r="M13" s="52">
        <f t="shared" si="193"/>
        <v>533.33333333333337</v>
      </c>
      <c r="N13" s="52">
        <f t="shared" si="194"/>
        <v>0</v>
      </c>
      <c r="O13" s="52">
        <f t="shared" si="43"/>
        <v>0</v>
      </c>
      <c r="P13" s="52">
        <f t="shared" si="43"/>
        <v>0</v>
      </c>
      <c r="Q13" s="52">
        <f t="shared" si="43"/>
        <v>0</v>
      </c>
      <c r="R13" s="52">
        <f t="shared" si="43"/>
        <v>0</v>
      </c>
      <c r="S13" s="52">
        <f t="shared" si="43"/>
        <v>0</v>
      </c>
      <c r="T13" s="52">
        <f t="shared" si="195"/>
        <v>533.33333333333337</v>
      </c>
      <c r="U13" s="52">
        <f t="shared" si="44"/>
        <v>533.33333333333337</v>
      </c>
      <c r="V13" s="52">
        <f t="shared" si="44"/>
        <v>533.33333333333337</v>
      </c>
      <c r="W13" s="52">
        <f t="shared" si="44"/>
        <v>533.33333333333337</v>
      </c>
      <c r="X13" s="52">
        <f t="shared" si="44"/>
        <v>533.33333333333337</v>
      </c>
      <c r="Y13" s="52">
        <f t="shared" si="44"/>
        <v>533.33333333333337</v>
      </c>
      <c r="Z13" s="52">
        <f t="shared" si="44"/>
        <v>0</v>
      </c>
      <c r="AA13" s="52">
        <f t="shared" si="44"/>
        <v>0</v>
      </c>
      <c r="AB13" s="52">
        <f t="shared" si="45"/>
        <v>0</v>
      </c>
      <c r="AC13" s="52">
        <f t="shared" si="46"/>
        <v>0</v>
      </c>
      <c r="AD13" s="52">
        <f t="shared" si="47"/>
        <v>0</v>
      </c>
      <c r="AE13" s="52">
        <f t="shared" si="48"/>
        <v>0</v>
      </c>
      <c r="AF13" s="52">
        <f t="shared" si="49"/>
        <v>533.33333333333337</v>
      </c>
      <c r="AG13" s="52">
        <f t="shared" si="50"/>
        <v>533.33333333333337</v>
      </c>
      <c r="AH13" s="52">
        <f t="shared" si="51"/>
        <v>533.33333333333337</v>
      </c>
      <c r="AI13" s="52">
        <f t="shared" si="52"/>
        <v>533.33333333333337</v>
      </c>
      <c r="AJ13" s="52">
        <f t="shared" si="53"/>
        <v>533.33333333333337</v>
      </c>
      <c r="AK13" s="52">
        <f t="shared" si="54"/>
        <v>533.33333333333337</v>
      </c>
      <c r="AL13" s="52">
        <f t="shared" si="55"/>
        <v>0</v>
      </c>
      <c r="AM13" s="52">
        <f t="shared" si="56"/>
        <v>0</v>
      </c>
      <c r="AN13" s="52">
        <f t="shared" si="57"/>
        <v>0</v>
      </c>
      <c r="AO13" s="52">
        <f t="shared" si="58"/>
        <v>0</v>
      </c>
      <c r="AP13" s="52">
        <f t="shared" si="59"/>
        <v>0</v>
      </c>
      <c r="AQ13" s="52">
        <f t="shared" si="60"/>
        <v>0</v>
      </c>
      <c r="AR13" s="52">
        <f t="shared" si="61"/>
        <v>533.33333333333337</v>
      </c>
      <c r="AS13" s="52">
        <f t="shared" si="62"/>
        <v>533.33333333333337</v>
      </c>
      <c r="AT13" s="52">
        <f t="shared" si="63"/>
        <v>533.33333333333337</v>
      </c>
      <c r="AU13" s="52">
        <f t="shared" si="64"/>
        <v>533.33333333333337</v>
      </c>
      <c r="AV13" s="52">
        <f t="shared" si="65"/>
        <v>533.33333333333337</v>
      </c>
      <c r="AW13" s="52">
        <f t="shared" si="66"/>
        <v>533.33333333333337</v>
      </c>
      <c r="AX13" s="52">
        <f t="shared" si="67"/>
        <v>0</v>
      </c>
      <c r="AY13" s="52">
        <f t="shared" si="68"/>
        <v>0</v>
      </c>
      <c r="AZ13" s="52">
        <f t="shared" si="69"/>
        <v>0</v>
      </c>
      <c r="BA13" s="52">
        <f t="shared" si="70"/>
        <v>0</v>
      </c>
      <c r="BB13" s="52">
        <f t="shared" si="71"/>
        <v>0</v>
      </c>
      <c r="BC13" s="52">
        <f t="shared" si="72"/>
        <v>0</v>
      </c>
      <c r="BD13" s="52">
        <f t="shared" si="73"/>
        <v>533.33333333333337</v>
      </c>
      <c r="BE13" s="52">
        <f t="shared" si="74"/>
        <v>533.33333333333337</v>
      </c>
      <c r="BF13" s="52">
        <f t="shared" si="75"/>
        <v>533.33333333333337</v>
      </c>
      <c r="BG13" s="52">
        <f t="shared" si="76"/>
        <v>533.33333333333337</v>
      </c>
      <c r="BH13" s="52">
        <f t="shared" si="77"/>
        <v>533.33333333333337</v>
      </c>
      <c r="BI13" s="52">
        <f t="shared" si="78"/>
        <v>533.33333333333337</v>
      </c>
      <c r="BJ13" s="52">
        <f t="shared" si="79"/>
        <v>0</v>
      </c>
      <c r="BK13" s="52">
        <f t="shared" si="80"/>
        <v>0</v>
      </c>
      <c r="BL13" s="52">
        <f t="shared" si="81"/>
        <v>0</v>
      </c>
      <c r="BM13" s="52">
        <f t="shared" si="82"/>
        <v>0</v>
      </c>
      <c r="BN13" s="52">
        <f t="shared" si="83"/>
        <v>0</v>
      </c>
      <c r="BO13" s="52">
        <f t="shared" si="84"/>
        <v>0</v>
      </c>
      <c r="BP13" s="52">
        <f t="shared" si="85"/>
        <v>533.33333333333337</v>
      </c>
      <c r="BQ13" s="52">
        <f t="shared" si="86"/>
        <v>533.33333333333337</v>
      </c>
      <c r="BR13" s="52">
        <f t="shared" si="87"/>
        <v>533.33333333333337</v>
      </c>
      <c r="BS13" s="52">
        <f t="shared" si="88"/>
        <v>533.33333333333337</v>
      </c>
      <c r="BT13" s="52">
        <f t="shared" si="89"/>
        <v>533.33333333333337</v>
      </c>
      <c r="BU13" s="52">
        <f t="shared" si="90"/>
        <v>533.33333333333337</v>
      </c>
      <c r="BV13" s="52">
        <f t="shared" si="91"/>
        <v>0</v>
      </c>
      <c r="BW13" s="52">
        <f t="shared" si="92"/>
        <v>0</v>
      </c>
      <c r="BX13" s="52">
        <f t="shared" si="93"/>
        <v>0</v>
      </c>
      <c r="BY13" s="52">
        <f t="shared" si="94"/>
        <v>0</v>
      </c>
      <c r="BZ13" s="52">
        <f t="shared" si="95"/>
        <v>0</v>
      </c>
      <c r="CA13" s="52">
        <f t="shared" si="96"/>
        <v>0</v>
      </c>
      <c r="CB13" s="52">
        <f t="shared" si="97"/>
        <v>533.33333333333337</v>
      </c>
      <c r="CC13" s="52">
        <f t="shared" si="98"/>
        <v>533.33333333333337</v>
      </c>
      <c r="CD13" s="52">
        <f t="shared" si="99"/>
        <v>533.33333333333337</v>
      </c>
      <c r="CE13" s="52">
        <f t="shared" si="100"/>
        <v>533.33333333333337</v>
      </c>
      <c r="CF13" s="52">
        <f t="shared" si="101"/>
        <v>533.33333333333337</v>
      </c>
      <c r="CG13" s="52">
        <f t="shared" si="102"/>
        <v>533.33333333333337</v>
      </c>
      <c r="CH13" s="52">
        <f t="shared" si="103"/>
        <v>0</v>
      </c>
      <c r="CI13" s="52">
        <f t="shared" si="104"/>
        <v>0</v>
      </c>
      <c r="CJ13" s="52">
        <f t="shared" si="105"/>
        <v>0</v>
      </c>
      <c r="CK13" s="52">
        <f t="shared" si="106"/>
        <v>0</v>
      </c>
      <c r="CL13" s="52">
        <f t="shared" si="107"/>
        <v>0</v>
      </c>
      <c r="CM13" s="52">
        <f t="shared" si="108"/>
        <v>0</v>
      </c>
      <c r="CN13" s="52">
        <f t="shared" si="109"/>
        <v>533.33333333333337</v>
      </c>
      <c r="CO13" s="52">
        <f t="shared" si="110"/>
        <v>533.33333333333337</v>
      </c>
      <c r="CP13" s="52">
        <f t="shared" si="111"/>
        <v>533.33333333333337</v>
      </c>
      <c r="CQ13" s="52">
        <f t="shared" si="112"/>
        <v>533.33333333333337</v>
      </c>
      <c r="CR13" s="52">
        <f t="shared" si="113"/>
        <v>533.33333333333337</v>
      </c>
      <c r="CS13" s="52">
        <f t="shared" si="114"/>
        <v>533.33333333333337</v>
      </c>
      <c r="CT13" s="52">
        <f t="shared" si="115"/>
        <v>0</v>
      </c>
      <c r="CU13" s="52">
        <f t="shared" si="116"/>
        <v>0</v>
      </c>
      <c r="CV13" s="52">
        <f t="shared" si="117"/>
        <v>0</v>
      </c>
      <c r="CW13" s="52">
        <f t="shared" si="118"/>
        <v>0</v>
      </c>
      <c r="CX13" s="52">
        <f t="shared" si="119"/>
        <v>0</v>
      </c>
      <c r="CY13" s="52">
        <f t="shared" si="120"/>
        <v>0</v>
      </c>
      <c r="CZ13" s="52">
        <f t="shared" si="121"/>
        <v>533.33333333333337</v>
      </c>
      <c r="DA13" s="52">
        <f t="shared" si="122"/>
        <v>533.33333333333337</v>
      </c>
      <c r="DB13" s="52">
        <f t="shared" si="123"/>
        <v>533.33333333333337</v>
      </c>
      <c r="DC13" s="52">
        <f t="shared" si="124"/>
        <v>533.33333333333337</v>
      </c>
      <c r="DD13" s="52">
        <f t="shared" si="125"/>
        <v>533.33333333333337</v>
      </c>
      <c r="DE13" s="52">
        <f t="shared" si="126"/>
        <v>533.33333333333337</v>
      </c>
      <c r="DF13" s="52">
        <f t="shared" si="127"/>
        <v>0</v>
      </c>
      <c r="DG13" s="52">
        <f t="shared" si="128"/>
        <v>0</v>
      </c>
      <c r="DH13" s="52">
        <f t="shared" si="129"/>
        <v>0</v>
      </c>
      <c r="DI13" s="52">
        <f t="shared" si="130"/>
        <v>0</v>
      </c>
      <c r="DJ13" s="52">
        <f t="shared" si="131"/>
        <v>0</v>
      </c>
      <c r="DK13" s="52">
        <f t="shared" si="132"/>
        <v>0</v>
      </c>
      <c r="DL13" s="52">
        <f t="shared" si="133"/>
        <v>533.33333333333337</v>
      </c>
      <c r="DM13" s="52">
        <f t="shared" si="134"/>
        <v>533.33333333333337</v>
      </c>
      <c r="DN13" s="52">
        <f t="shared" si="135"/>
        <v>533.33333333333337</v>
      </c>
      <c r="DO13" s="52">
        <f t="shared" si="136"/>
        <v>533.33333333333337</v>
      </c>
      <c r="DP13" s="52">
        <f t="shared" si="137"/>
        <v>533.33333333333337</v>
      </c>
      <c r="DQ13" s="52">
        <f t="shared" si="138"/>
        <v>533.33333333333337</v>
      </c>
      <c r="DR13" s="52">
        <f t="shared" si="139"/>
        <v>0</v>
      </c>
      <c r="DS13" s="52">
        <f t="shared" si="140"/>
        <v>0</v>
      </c>
      <c r="DT13" s="52">
        <f t="shared" si="141"/>
        <v>0</v>
      </c>
      <c r="DU13" s="52">
        <f t="shared" si="142"/>
        <v>0</v>
      </c>
      <c r="DV13" s="52">
        <f t="shared" si="143"/>
        <v>0</v>
      </c>
      <c r="DW13" s="52">
        <f t="shared" si="144"/>
        <v>0</v>
      </c>
      <c r="DX13" s="52">
        <f t="shared" si="145"/>
        <v>533.33333333333337</v>
      </c>
      <c r="DY13" s="52">
        <f t="shared" si="146"/>
        <v>533.33333333333337</v>
      </c>
      <c r="DZ13" s="52">
        <f t="shared" si="147"/>
        <v>533.33333333333337</v>
      </c>
      <c r="EA13" s="52">
        <f t="shared" si="148"/>
        <v>533.33333333333337</v>
      </c>
      <c r="EB13" s="52">
        <f t="shared" si="149"/>
        <v>533.33333333333337</v>
      </c>
      <c r="EC13" s="52">
        <f t="shared" si="150"/>
        <v>533.33333333333337</v>
      </c>
      <c r="ED13" s="52">
        <f t="shared" si="151"/>
        <v>0</v>
      </c>
      <c r="EE13" s="52">
        <f t="shared" si="152"/>
        <v>0</v>
      </c>
      <c r="EF13" s="52">
        <f t="shared" si="153"/>
        <v>0</v>
      </c>
      <c r="EG13" s="52">
        <f t="shared" si="154"/>
        <v>0</v>
      </c>
      <c r="EH13" s="52">
        <f t="shared" si="155"/>
        <v>0</v>
      </c>
      <c r="EI13" s="52">
        <f t="shared" si="156"/>
        <v>0</v>
      </c>
      <c r="EJ13" s="52">
        <f t="shared" si="157"/>
        <v>533.33333333333337</v>
      </c>
      <c r="EK13" s="52">
        <f t="shared" si="158"/>
        <v>533.33333333333337</v>
      </c>
      <c r="EL13" s="52">
        <f t="shared" si="159"/>
        <v>533.33333333333337</v>
      </c>
      <c r="EM13" s="52">
        <f t="shared" si="160"/>
        <v>533.33333333333337</v>
      </c>
      <c r="EN13" s="52">
        <f t="shared" si="161"/>
        <v>533.33333333333337</v>
      </c>
      <c r="EO13" s="52">
        <f t="shared" si="162"/>
        <v>533.33333333333337</v>
      </c>
      <c r="EP13" s="52">
        <f t="shared" si="163"/>
        <v>0</v>
      </c>
      <c r="EQ13" s="52">
        <f t="shared" si="164"/>
        <v>0</v>
      </c>
      <c r="ER13" s="52">
        <f t="shared" si="165"/>
        <v>0</v>
      </c>
      <c r="ES13" s="52">
        <f t="shared" si="166"/>
        <v>0</v>
      </c>
      <c r="ET13" s="52">
        <f t="shared" si="167"/>
        <v>0</v>
      </c>
      <c r="EU13" s="52">
        <f t="shared" si="168"/>
        <v>0</v>
      </c>
      <c r="EV13" s="52">
        <f t="shared" si="169"/>
        <v>533.33333333333337</v>
      </c>
      <c r="EW13" s="52">
        <f t="shared" si="170"/>
        <v>533.33333333333337</v>
      </c>
      <c r="EX13" s="52">
        <f t="shared" si="171"/>
        <v>533.33333333333337</v>
      </c>
      <c r="EY13" s="52">
        <f t="shared" si="172"/>
        <v>533.33333333333337</v>
      </c>
      <c r="EZ13" s="52">
        <f t="shared" si="173"/>
        <v>533.33333333333337</v>
      </c>
      <c r="FA13" s="52">
        <f t="shared" si="174"/>
        <v>533.33333333333337</v>
      </c>
      <c r="FB13" s="52">
        <f t="shared" si="175"/>
        <v>0</v>
      </c>
      <c r="FC13" s="52">
        <f t="shared" si="176"/>
        <v>0</v>
      </c>
      <c r="FD13" s="52">
        <f t="shared" si="177"/>
        <v>0</v>
      </c>
      <c r="FE13" s="52">
        <f t="shared" si="178"/>
        <v>0</v>
      </c>
      <c r="FF13" s="52">
        <f t="shared" si="179"/>
        <v>0</v>
      </c>
      <c r="FG13" s="52">
        <f t="shared" si="180"/>
        <v>0</v>
      </c>
      <c r="FH13" s="52">
        <f t="shared" si="181"/>
        <v>533.33333333333337</v>
      </c>
      <c r="FI13" s="52">
        <f t="shared" si="182"/>
        <v>533.33333333333337</v>
      </c>
      <c r="FJ13" s="52">
        <f t="shared" si="183"/>
        <v>533.33333333333337</v>
      </c>
      <c r="FK13" s="52">
        <f t="shared" si="184"/>
        <v>533.33333333333337</v>
      </c>
      <c r="FL13" s="52">
        <f t="shared" si="185"/>
        <v>533.33333333333337</v>
      </c>
      <c r="FM13" s="52">
        <f t="shared" si="186"/>
        <v>533.33333333333337</v>
      </c>
      <c r="FN13" s="52">
        <f t="shared" si="187"/>
        <v>0</v>
      </c>
      <c r="FO13" s="52">
        <f t="shared" si="188"/>
        <v>0</v>
      </c>
    </row>
    <row r="14" spans="1:171">
      <c r="A14" s="87" t="s">
        <v>147</v>
      </c>
      <c r="B14" s="52">
        <f t="shared" ref="B14:AB14" si="196">SUM(B10:B13)</f>
        <v>13333.333333333334</v>
      </c>
      <c r="C14" s="52">
        <f t="shared" si="196"/>
        <v>13333.333333333334</v>
      </c>
      <c r="D14" s="52">
        <f t="shared" si="196"/>
        <v>13333.333333333334</v>
      </c>
      <c r="E14" s="52">
        <f t="shared" si="196"/>
        <v>0</v>
      </c>
      <c r="F14" s="52">
        <f t="shared" si="196"/>
        <v>0</v>
      </c>
      <c r="G14" s="52">
        <f>SUM(G10:G13)</f>
        <v>0</v>
      </c>
      <c r="H14" s="52">
        <f t="shared" ref="H14:M14" si="197">SUM(H10:H13)</f>
        <v>6666.666666666667</v>
      </c>
      <c r="I14" s="52">
        <f t="shared" si="197"/>
        <v>6666.666666666667</v>
      </c>
      <c r="J14" s="52">
        <f t="shared" si="197"/>
        <v>6666.666666666667</v>
      </c>
      <c r="K14" s="52">
        <f t="shared" si="197"/>
        <v>6666.666666666667</v>
      </c>
      <c r="L14" s="52">
        <f t="shared" si="197"/>
        <v>6666.666666666667</v>
      </c>
      <c r="M14" s="52">
        <f t="shared" si="197"/>
        <v>6666.666666666667</v>
      </c>
      <c r="N14" s="52">
        <f t="shared" si="194"/>
        <v>0</v>
      </c>
      <c r="O14" s="52">
        <f t="shared" si="43"/>
        <v>0</v>
      </c>
      <c r="P14" s="52">
        <f t="shared" si="43"/>
        <v>0</v>
      </c>
      <c r="Q14" s="52">
        <f t="shared" si="43"/>
        <v>0</v>
      </c>
      <c r="R14" s="52">
        <f t="shared" si="43"/>
        <v>0</v>
      </c>
      <c r="S14" s="52">
        <f t="shared" si="43"/>
        <v>0</v>
      </c>
      <c r="T14" s="52">
        <f t="shared" si="195"/>
        <v>6666.666666666667</v>
      </c>
      <c r="U14" s="52">
        <f t="shared" si="44"/>
        <v>6666.666666666667</v>
      </c>
      <c r="V14" s="52">
        <f t="shared" si="44"/>
        <v>6666.666666666667</v>
      </c>
      <c r="W14" s="52">
        <f t="shared" si="44"/>
        <v>6666.666666666667</v>
      </c>
      <c r="X14" s="52">
        <f t="shared" si="44"/>
        <v>6666.666666666667</v>
      </c>
      <c r="Y14" s="52">
        <f t="shared" si="44"/>
        <v>6666.666666666667</v>
      </c>
      <c r="Z14" s="52">
        <f t="shared" si="44"/>
        <v>0</v>
      </c>
      <c r="AA14" s="52">
        <f t="shared" si="44"/>
        <v>0</v>
      </c>
      <c r="AB14" s="52">
        <f t="shared" si="45"/>
        <v>0</v>
      </c>
      <c r="AC14" s="52">
        <f t="shared" si="46"/>
        <v>0</v>
      </c>
      <c r="AD14" s="52">
        <f t="shared" si="47"/>
        <v>0</v>
      </c>
      <c r="AE14" s="52">
        <f t="shared" si="48"/>
        <v>0</v>
      </c>
      <c r="AF14" s="52">
        <f t="shared" si="49"/>
        <v>6666.666666666667</v>
      </c>
      <c r="AG14" s="52">
        <f t="shared" si="50"/>
        <v>6666.666666666667</v>
      </c>
      <c r="AH14" s="52">
        <f t="shared" si="51"/>
        <v>6666.666666666667</v>
      </c>
      <c r="AI14" s="52">
        <f t="shared" si="52"/>
        <v>6666.666666666667</v>
      </c>
      <c r="AJ14" s="52">
        <f t="shared" si="53"/>
        <v>6666.666666666667</v>
      </c>
      <c r="AK14" s="52">
        <f t="shared" si="54"/>
        <v>6666.666666666667</v>
      </c>
      <c r="AL14" s="52">
        <f t="shared" si="55"/>
        <v>0</v>
      </c>
      <c r="AM14" s="52">
        <f t="shared" si="56"/>
        <v>0</v>
      </c>
      <c r="AN14" s="52">
        <f t="shared" si="57"/>
        <v>0</v>
      </c>
      <c r="AO14" s="52">
        <f t="shared" si="58"/>
        <v>0</v>
      </c>
      <c r="AP14" s="52">
        <f t="shared" si="59"/>
        <v>0</v>
      </c>
      <c r="AQ14" s="52">
        <f t="shared" si="60"/>
        <v>0</v>
      </c>
      <c r="AR14" s="52">
        <f t="shared" si="61"/>
        <v>6666.666666666667</v>
      </c>
      <c r="AS14" s="52">
        <f t="shared" si="62"/>
        <v>6666.666666666667</v>
      </c>
      <c r="AT14" s="52">
        <f t="shared" si="63"/>
        <v>6666.666666666667</v>
      </c>
      <c r="AU14" s="52">
        <f t="shared" si="64"/>
        <v>6666.666666666667</v>
      </c>
      <c r="AV14" s="52">
        <f t="shared" si="65"/>
        <v>6666.666666666667</v>
      </c>
      <c r="AW14" s="52">
        <f t="shared" si="66"/>
        <v>6666.666666666667</v>
      </c>
      <c r="AX14" s="52">
        <f t="shared" si="67"/>
        <v>0</v>
      </c>
      <c r="AY14" s="52">
        <f t="shared" si="68"/>
        <v>0</v>
      </c>
      <c r="AZ14" s="52">
        <f t="shared" si="69"/>
        <v>0</v>
      </c>
      <c r="BA14" s="52">
        <f t="shared" si="70"/>
        <v>0</v>
      </c>
      <c r="BB14" s="52">
        <f t="shared" si="71"/>
        <v>0</v>
      </c>
      <c r="BC14" s="52">
        <f t="shared" si="72"/>
        <v>0</v>
      </c>
      <c r="BD14" s="52">
        <f t="shared" si="73"/>
        <v>6666.666666666667</v>
      </c>
      <c r="BE14" s="52">
        <f t="shared" si="74"/>
        <v>6666.666666666667</v>
      </c>
      <c r="BF14" s="52">
        <f t="shared" si="75"/>
        <v>6666.666666666667</v>
      </c>
      <c r="BG14" s="52">
        <f t="shared" si="76"/>
        <v>6666.666666666667</v>
      </c>
      <c r="BH14" s="52">
        <f t="shared" si="77"/>
        <v>6666.666666666667</v>
      </c>
      <c r="BI14" s="52">
        <f t="shared" si="78"/>
        <v>6666.666666666667</v>
      </c>
      <c r="BJ14" s="52">
        <f t="shared" si="79"/>
        <v>0</v>
      </c>
      <c r="BK14" s="52">
        <f t="shared" si="80"/>
        <v>0</v>
      </c>
      <c r="BL14" s="52">
        <f t="shared" si="81"/>
        <v>0</v>
      </c>
      <c r="BM14" s="52">
        <f t="shared" si="82"/>
        <v>0</v>
      </c>
      <c r="BN14" s="52">
        <f t="shared" si="83"/>
        <v>0</v>
      </c>
      <c r="BO14" s="52">
        <f t="shared" si="84"/>
        <v>0</v>
      </c>
      <c r="BP14" s="52">
        <f t="shared" si="85"/>
        <v>6666.666666666667</v>
      </c>
      <c r="BQ14" s="52">
        <f t="shared" si="86"/>
        <v>6666.666666666667</v>
      </c>
      <c r="BR14" s="52">
        <f t="shared" si="87"/>
        <v>6666.666666666667</v>
      </c>
      <c r="BS14" s="52">
        <f t="shared" si="88"/>
        <v>6666.666666666667</v>
      </c>
      <c r="BT14" s="52">
        <f t="shared" si="89"/>
        <v>6666.666666666667</v>
      </c>
      <c r="BU14" s="52">
        <f t="shared" si="90"/>
        <v>6666.666666666667</v>
      </c>
      <c r="BV14" s="52">
        <f t="shared" si="91"/>
        <v>0</v>
      </c>
      <c r="BW14" s="52">
        <f t="shared" si="92"/>
        <v>0</v>
      </c>
      <c r="BX14" s="52">
        <f t="shared" si="93"/>
        <v>0</v>
      </c>
      <c r="BY14" s="52">
        <f t="shared" si="94"/>
        <v>0</v>
      </c>
      <c r="BZ14" s="52">
        <f t="shared" si="95"/>
        <v>0</v>
      </c>
      <c r="CA14" s="52">
        <f t="shared" si="96"/>
        <v>0</v>
      </c>
      <c r="CB14" s="52">
        <f t="shared" si="97"/>
        <v>6666.666666666667</v>
      </c>
      <c r="CC14" s="52">
        <f t="shared" si="98"/>
        <v>6666.666666666667</v>
      </c>
      <c r="CD14" s="52">
        <f t="shared" si="99"/>
        <v>6666.666666666667</v>
      </c>
      <c r="CE14" s="52">
        <f t="shared" si="100"/>
        <v>6666.666666666667</v>
      </c>
      <c r="CF14" s="52">
        <f t="shared" si="101"/>
        <v>6666.666666666667</v>
      </c>
      <c r="CG14" s="52">
        <f t="shared" si="102"/>
        <v>6666.666666666667</v>
      </c>
      <c r="CH14" s="52">
        <f t="shared" si="103"/>
        <v>0</v>
      </c>
      <c r="CI14" s="52">
        <f t="shared" si="104"/>
        <v>0</v>
      </c>
      <c r="CJ14" s="52">
        <f t="shared" si="105"/>
        <v>0</v>
      </c>
      <c r="CK14" s="52">
        <f t="shared" si="106"/>
        <v>0</v>
      </c>
      <c r="CL14" s="52">
        <f t="shared" si="107"/>
        <v>0</v>
      </c>
      <c r="CM14" s="52">
        <f t="shared" si="108"/>
        <v>0</v>
      </c>
      <c r="CN14" s="52">
        <f t="shared" si="109"/>
        <v>6666.666666666667</v>
      </c>
      <c r="CO14" s="52">
        <f t="shared" si="110"/>
        <v>6666.666666666667</v>
      </c>
      <c r="CP14" s="52">
        <f t="shared" si="111"/>
        <v>6666.666666666667</v>
      </c>
      <c r="CQ14" s="52">
        <f t="shared" si="112"/>
        <v>6666.666666666667</v>
      </c>
      <c r="CR14" s="52">
        <f t="shared" si="113"/>
        <v>6666.666666666667</v>
      </c>
      <c r="CS14" s="52">
        <f t="shared" si="114"/>
        <v>6666.666666666667</v>
      </c>
      <c r="CT14" s="52">
        <f t="shared" si="115"/>
        <v>0</v>
      </c>
      <c r="CU14" s="52">
        <f t="shared" si="116"/>
        <v>0</v>
      </c>
      <c r="CV14" s="52">
        <f t="shared" si="117"/>
        <v>0</v>
      </c>
      <c r="CW14" s="52">
        <f t="shared" si="118"/>
        <v>0</v>
      </c>
      <c r="CX14" s="52">
        <f t="shared" si="119"/>
        <v>0</v>
      </c>
      <c r="CY14" s="52">
        <f t="shared" si="120"/>
        <v>0</v>
      </c>
      <c r="CZ14" s="52">
        <f t="shared" si="121"/>
        <v>6666.666666666667</v>
      </c>
      <c r="DA14" s="52">
        <f t="shared" si="122"/>
        <v>6666.666666666667</v>
      </c>
      <c r="DB14" s="52">
        <f t="shared" si="123"/>
        <v>6666.666666666667</v>
      </c>
      <c r="DC14" s="52">
        <f t="shared" si="124"/>
        <v>6666.666666666667</v>
      </c>
      <c r="DD14" s="52">
        <f t="shared" si="125"/>
        <v>6666.666666666667</v>
      </c>
      <c r="DE14" s="52">
        <f t="shared" si="126"/>
        <v>6666.666666666667</v>
      </c>
      <c r="DF14" s="52">
        <f t="shared" si="127"/>
        <v>0</v>
      </c>
      <c r="DG14" s="52">
        <f t="shared" si="128"/>
        <v>0</v>
      </c>
      <c r="DH14" s="52">
        <f t="shared" si="129"/>
        <v>0</v>
      </c>
      <c r="DI14" s="52">
        <f t="shared" si="130"/>
        <v>0</v>
      </c>
      <c r="DJ14" s="52">
        <f t="shared" si="131"/>
        <v>0</v>
      </c>
      <c r="DK14" s="52">
        <f t="shared" si="132"/>
        <v>0</v>
      </c>
      <c r="DL14" s="52">
        <f t="shared" si="133"/>
        <v>6666.666666666667</v>
      </c>
      <c r="DM14" s="52">
        <f t="shared" si="134"/>
        <v>6666.666666666667</v>
      </c>
      <c r="DN14" s="52">
        <f t="shared" si="135"/>
        <v>6666.666666666667</v>
      </c>
      <c r="DO14" s="52">
        <f t="shared" si="136"/>
        <v>6666.666666666667</v>
      </c>
      <c r="DP14" s="52">
        <f t="shared" si="137"/>
        <v>6666.666666666667</v>
      </c>
      <c r="DQ14" s="52">
        <f t="shared" si="138"/>
        <v>6666.666666666667</v>
      </c>
      <c r="DR14" s="52">
        <f t="shared" si="139"/>
        <v>0</v>
      </c>
      <c r="DS14" s="52">
        <f t="shared" si="140"/>
        <v>0</v>
      </c>
      <c r="DT14" s="52">
        <f t="shared" si="141"/>
        <v>0</v>
      </c>
      <c r="DU14" s="52">
        <f t="shared" si="142"/>
        <v>0</v>
      </c>
      <c r="DV14" s="52">
        <f t="shared" si="143"/>
        <v>0</v>
      </c>
      <c r="DW14" s="52">
        <f t="shared" si="144"/>
        <v>0</v>
      </c>
      <c r="DX14" s="52">
        <f t="shared" si="145"/>
        <v>6666.666666666667</v>
      </c>
      <c r="DY14" s="52">
        <f t="shared" si="146"/>
        <v>6666.666666666667</v>
      </c>
      <c r="DZ14" s="52">
        <f t="shared" si="147"/>
        <v>6666.666666666667</v>
      </c>
      <c r="EA14" s="52">
        <f t="shared" si="148"/>
        <v>6666.666666666667</v>
      </c>
      <c r="EB14" s="52">
        <f t="shared" si="149"/>
        <v>6666.666666666667</v>
      </c>
      <c r="EC14" s="52">
        <f t="shared" si="150"/>
        <v>6666.666666666667</v>
      </c>
      <c r="ED14" s="52">
        <f t="shared" si="151"/>
        <v>0</v>
      </c>
      <c r="EE14" s="52">
        <f t="shared" si="152"/>
        <v>0</v>
      </c>
      <c r="EF14" s="52">
        <f t="shared" si="153"/>
        <v>0</v>
      </c>
      <c r="EG14" s="52">
        <f t="shared" si="154"/>
        <v>0</v>
      </c>
      <c r="EH14" s="52">
        <f t="shared" si="155"/>
        <v>0</v>
      </c>
      <c r="EI14" s="52">
        <f t="shared" si="156"/>
        <v>0</v>
      </c>
      <c r="EJ14" s="52">
        <f t="shared" si="157"/>
        <v>6666.666666666667</v>
      </c>
      <c r="EK14" s="52">
        <f t="shared" si="158"/>
        <v>6666.666666666667</v>
      </c>
      <c r="EL14" s="52">
        <f t="shared" si="159"/>
        <v>6666.666666666667</v>
      </c>
      <c r="EM14" s="52">
        <f t="shared" si="160"/>
        <v>6666.666666666667</v>
      </c>
      <c r="EN14" s="52">
        <f t="shared" si="161"/>
        <v>6666.666666666667</v>
      </c>
      <c r="EO14" s="52">
        <f t="shared" si="162"/>
        <v>6666.666666666667</v>
      </c>
      <c r="EP14" s="52">
        <f t="shared" si="163"/>
        <v>0</v>
      </c>
      <c r="EQ14" s="52">
        <f t="shared" si="164"/>
        <v>0</v>
      </c>
      <c r="ER14" s="52">
        <f t="shared" si="165"/>
        <v>0</v>
      </c>
      <c r="ES14" s="52">
        <f t="shared" si="166"/>
        <v>0</v>
      </c>
      <c r="ET14" s="52">
        <f t="shared" si="167"/>
        <v>0</v>
      </c>
      <c r="EU14" s="52">
        <f t="shared" si="168"/>
        <v>0</v>
      </c>
      <c r="EV14" s="52">
        <f t="shared" si="169"/>
        <v>6666.666666666667</v>
      </c>
      <c r="EW14" s="52">
        <f t="shared" si="170"/>
        <v>6666.666666666667</v>
      </c>
      <c r="EX14" s="52">
        <f t="shared" si="171"/>
        <v>6666.666666666667</v>
      </c>
      <c r="EY14" s="52">
        <f t="shared" si="172"/>
        <v>6666.666666666667</v>
      </c>
      <c r="EZ14" s="52">
        <f t="shared" si="173"/>
        <v>6666.666666666667</v>
      </c>
      <c r="FA14" s="52">
        <f t="shared" si="174"/>
        <v>6666.666666666667</v>
      </c>
      <c r="FB14" s="52">
        <f t="shared" si="175"/>
        <v>0</v>
      </c>
      <c r="FC14" s="52">
        <f t="shared" si="176"/>
        <v>0</v>
      </c>
      <c r="FD14" s="52">
        <f t="shared" si="177"/>
        <v>0</v>
      </c>
      <c r="FE14" s="52">
        <f t="shared" si="178"/>
        <v>0</v>
      </c>
      <c r="FF14" s="52">
        <f t="shared" si="179"/>
        <v>0</v>
      </c>
      <c r="FG14" s="52">
        <f t="shared" si="180"/>
        <v>0</v>
      </c>
      <c r="FH14" s="52">
        <f t="shared" si="181"/>
        <v>6666.666666666667</v>
      </c>
      <c r="FI14" s="52">
        <f t="shared" si="182"/>
        <v>6666.666666666667</v>
      </c>
      <c r="FJ14" s="52">
        <f t="shared" si="183"/>
        <v>6666.666666666667</v>
      </c>
      <c r="FK14" s="52">
        <f t="shared" si="184"/>
        <v>6666.666666666667</v>
      </c>
      <c r="FL14" s="52">
        <f t="shared" si="185"/>
        <v>6666.666666666667</v>
      </c>
      <c r="FM14" s="52">
        <f t="shared" si="186"/>
        <v>6666.666666666667</v>
      </c>
      <c r="FN14" s="52">
        <f t="shared" si="187"/>
        <v>0</v>
      </c>
      <c r="FO14" s="52">
        <f t="shared" si="188"/>
        <v>0</v>
      </c>
    </row>
    <row r="16" spans="1:171">
      <c r="A16" s="87" t="s">
        <v>203</v>
      </c>
      <c r="B16" s="52">
        <f>B10*Предпосылки!$B$47</f>
        <v>160</v>
      </c>
      <c r="C16" s="52">
        <f>C10*Предпосылки!$B$47</f>
        <v>160</v>
      </c>
      <c r="D16" s="52">
        <f>D10*Предпосылки!$B$47</f>
        <v>160</v>
      </c>
      <c r="E16" s="52">
        <f>E10*Предпосылки!$B$47</f>
        <v>0</v>
      </c>
      <c r="F16" s="52">
        <f>F10*Предпосылки!$B$47</f>
        <v>0</v>
      </c>
      <c r="G16" s="52">
        <f>G10*Предпосылки!$B$47</f>
        <v>0</v>
      </c>
      <c r="H16" s="52">
        <f>H10*Предпосылки!$B$47</f>
        <v>80</v>
      </c>
      <c r="I16" s="52">
        <f>I10*Предпосылки!$B$47</f>
        <v>80</v>
      </c>
      <c r="J16" s="52">
        <f>J10*Предпосылки!$B$47</f>
        <v>80</v>
      </c>
      <c r="K16" s="52">
        <f>K10*Предпосылки!$B$47</f>
        <v>80</v>
      </c>
      <c r="L16" s="52">
        <f>L10*Предпосылки!$B$47</f>
        <v>80</v>
      </c>
      <c r="M16" s="52">
        <f>M10*Предпосылки!$B$47</f>
        <v>80</v>
      </c>
      <c r="N16" s="52">
        <f>N10*Предпосылки!$B$47</f>
        <v>0</v>
      </c>
      <c r="O16" s="52">
        <f>O10*Предпосылки!$B$47</f>
        <v>0</v>
      </c>
      <c r="P16" s="52">
        <f>P10*Предпосылки!$B$47</f>
        <v>0</v>
      </c>
      <c r="Q16" s="52">
        <f>Q10*Предпосылки!$B$47</f>
        <v>0</v>
      </c>
      <c r="R16" s="52">
        <f>R10*Предпосылки!$B$47</f>
        <v>0</v>
      </c>
      <c r="S16" s="52">
        <f>S10*Предпосылки!$B$47</f>
        <v>0</v>
      </c>
      <c r="T16" s="52">
        <f>T10*Предпосылки!$B$47</f>
        <v>80</v>
      </c>
      <c r="U16" s="52">
        <f>U10*Предпосылки!$B$47</f>
        <v>80</v>
      </c>
      <c r="V16" s="52">
        <f>V10*Предпосылки!$B$47</f>
        <v>80</v>
      </c>
      <c r="W16" s="52">
        <f>W10*Предпосылки!$B$47</f>
        <v>80</v>
      </c>
      <c r="X16" s="52">
        <f>X10*Предпосылки!$B$47</f>
        <v>80</v>
      </c>
      <c r="Y16" s="52">
        <f>Y10*Предпосылки!$B$47</f>
        <v>80</v>
      </c>
      <c r="Z16" s="52">
        <f>Z10*Предпосылки!$B$47</f>
        <v>0</v>
      </c>
      <c r="AA16" s="52">
        <f>AA10*Предпосылки!$B$47</f>
        <v>0</v>
      </c>
      <c r="AB16" s="52">
        <f>AB10*Предпосылки!$B$47</f>
        <v>0</v>
      </c>
      <c r="AC16" s="52">
        <f>AC10*Предпосылки!$B$47</f>
        <v>0</v>
      </c>
      <c r="AD16" s="52">
        <f>AD10*Предпосылки!$B$47</f>
        <v>0</v>
      </c>
      <c r="AE16" s="52">
        <f>AE10*Предпосылки!$B$47</f>
        <v>0</v>
      </c>
      <c r="AF16" s="52">
        <f>AF10*Предпосылки!$B$47</f>
        <v>80</v>
      </c>
      <c r="AG16" s="52">
        <f>AG10*Предпосылки!$B$47</f>
        <v>80</v>
      </c>
      <c r="AH16" s="52">
        <f>AH10*Предпосылки!$B$47</f>
        <v>80</v>
      </c>
      <c r="AI16" s="52">
        <f>AI10*Предпосылки!$B$47</f>
        <v>80</v>
      </c>
      <c r="AJ16" s="52">
        <f>AJ10*Предпосылки!$B$47</f>
        <v>80</v>
      </c>
      <c r="AK16" s="52">
        <f>AK10*Предпосылки!$B$47</f>
        <v>80</v>
      </c>
      <c r="AL16" s="52">
        <f>AL10*Предпосылки!$B$47</f>
        <v>0</v>
      </c>
      <c r="AM16" s="52">
        <f>AM10*Предпосылки!$B$47</f>
        <v>0</v>
      </c>
      <c r="AN16" s="52">
        <f>AN10*Предпосылки!$B$47</f>
        <v>0</v>
      </c>
      <c r="AO16" s="52">
        <f>AO10*Предпосылки!$B$47</f>
        <v>0</v>
      </c>
      <c r="AP16" s="52">
        <f>AP10*Предпосылки!$B$47</f>
        <v>0</v>
      </c>
      <c r="AQ16" s="52">
        <f>AQ10*Предпосылки!$B$47</f>
        <v>0</v>
      </c>
      <c r="AR16" s="52">
        <f>AR10*Предпосылки!$B$47</f>
        <v>80</v>
      </c>
      <c r="AS16" s="52">
        <f>AS10*Предпосылки!$B$47</f>
        <v>80</v>
      </c>
      <c r="AT16" s="52">
        <f>AT10*Предпосылки!$B$47</f>
        <v>80</v>
      </c>
      <c r="AU16" s="52">
        <f>AU10*Предпосылки!$B$47</f>
        <v>80</v>
      </c>
      <c r="AV16" s="52">
        <f>AV10*Предпосылки!$B$47</f>
        <v>80</v>
      </c>
      <c r="AW16" s="52">
        <f>AW10*Предпосылки!$B$47</f>
        <v>80</v>
      </c>
      <c r="AX16" s="52">
        <f>AX10*Предпосылки!$B$47</f>
        <v>0</v>
      </c>
      <c r="AY16" s="52">
        <f>AY10*Предпосылки!$B$47</f>
        <v>0</v>
      </c>
      <c r="AZ16" s="52">
        <f>AZ10*Предпосылки!$B$47</f>
        <v>0</v>
      </c>
      <c r="BA16" s="52">
        <f>BA10*Предпосылки!$B$47</f>
        <v>0</v>
      </c>
      <c r="BB16" s="52">
        <f>BB10*Предпосылки!$B$47</f>
        <v>0</v>
      </c>
      <c r="BC16" s="52">
        <f>BC10*Предпосылки!$B$47</f>
        <v>0</v>
      </c>
      <c r="BD16" s="52">
        <f>BD10*Предпосылки!$B$47</f>
        <v>80</v>
      </c>
      <c r="BE16" s="52">
        <f>BE10*Предпосылки!$B$47</f>
        <v>80</v>
      </c>
      <c r="BF16" s="52">
        <f>BF10*Предпосылки!$B$47</f>
        <v>80</v>
      </c>
      <c r="BG16" s="52">
        <f>BG10*Предпосылки!$B$47</f>
        <v>80</v>
      </c>
      <c r="BH16" s="52">
        <f>BH10*Предпосылки!$B$47</f>
        <v>80</v>
      </c>
      <c r="BI16" s="52">
        <f>BI10*Предпосылки!$B$47</f>
        <v>80</v>
      </c>
      <c r="BJ16" s="52">
        <f>BJ10*Предпосылки!$B$47</f>
        <v>0</v>
      </c>
      <c r="BK16" s="52">
        <f>BK10*Предпосылки!$B$47</f>
        <v>0</v>
      </c>
      <c r="BL16" s="52">
        <f>BL10*Предпосылки!$B$47</f>
        <v>0</v>
      </c>
      <c r="BM16" s="52">
        <f>BM10*Предпосылки!$B$47</f>
        <v>0</v>
      </c>
      <c r="BN16" s="52">
        <f>BN10*Предпосылки!$B$47</f>
        <v>0</v>
      </c>
      <c r="BO16" s="52">
        <f>BO10*Предпосылки!$B$47</f>
        <v>0</v>
      </c>
      <c r="BP16" s="52">
        <f>BP10*Предпосылки!$B$47</f>
        <v>80</v>
      </c>
      <c r="BQ16" s="52">
        <f>BQ10*Предпосылки!$B$47</f>
        <v>80</v>
      </c>
      <c r="BR16" s="52">
        <f>BR10*Предпосылки!$B$47</f>
        <v>80</v>
      </c>
      <c r="BS16" s="52">
        <f>BS10*Предпосылки!$B$47</f>
        <v>80</v>
      </c>
      <c r="BT16" s="52">
        <f>BT10*Предпосылки!$B$47</f>
        <v>80</v>
      </c>
      <c r="BU16" s="52">
        <f>BU10*Предпосылки!$B$47</f>
        <v>80</v>
      </c>
      <c r="BV16" s="52">
        <f>BV10*Предпосылки!$B$47</f>
        <v>0</v>
      </c>
      <c r="BW16" s="52">
        <f>BW10*Предпосылки!$B$47</f>
        <v>0</v>
      </c>
      <c r="BX16" s="52">
        <f>BX10*Предпосылки!$B$47</f>
        <v>0</v>
      </c>
      <c r="BY16" s="52">
        <f>BY10*Предпосылки!$B$47</f>
        <v>0</v>
      </c>
      <c r="BZ16" s="52">
        <f>BZ10*Предпосылки!$B$47</f>
        <v>0</v>
      </c>
      <c r="CA16" s="52">
        <f>CA10*Предпосылки!$B$47</f>
        <v>0</v>
      </c>
      <c r="CB16" s="52">
        <f>CB10*Предпосылки!$B$47</f>
        <v>80</v>
      </c>
      <c r="CC16" s="52">
        <f>CC10*Предпосылки!$B$47</f>
        <v>80</v>
      </c>
      <c r="CD16" s="52">
        <f>CD10*Предпосылки!$B$47</f>
        <v>80</v>
      </c>
      <c r="CE16" s="52">
        <f>CE10*Предпосылки!$B$47</f>
        <v>80</v>
      </c>
      <c r="CF16" s="52">
        <f>CF10*Предпосылки!$B$47</f>
        <v>80</v>
      </c>
      <c r="CG16" s="52">
        <f>CG10*Предпосылки!$B$47</f>
        <v>80</v>
      </c>
      <c r="CH16" s="52">
        <f>CH10*Предпосылки!$B$47</f>
        <v>0</v>
      </c>
      <c r="CI16" s="52">
        <f>CI10*Предпосылки!$B$47</f>
        <v>0</v>
      </c>
      <c r="CJ16" s="52">
        <f>CJ10*Предпосылки!$B$47</f>
        <v>0</v>
      </c>
      <c r="CK16" s="52">
        <f>CK10*Предпосылки!$B$47</f>
        <v>0</v>
      </c>
      <c r="CL16" s="52">
        <f>CL10*Предпосылки!$B$47</f>
        <v>0</v>
      </c>
      <c r="CM16" s="52">
        <f>CM10*Предпосылки!$B$47</f>
        <v>0</v>
      </c>
      <c r="CN16" s="52">
        <f>CN10*Предпосылки!$B$47</f>
        <v>80</v>
      </c>
      <c r="CO16" s="52">
        <f>CO10*Предпосылки!$B$47</f>
        <v>80</v>
      </c>
      <c r="CP16" s="52">
        <f>CP10*Предпосылки!$B$47</f>
        <v>80</v>
      </c>
      <c r="CQ16" s="52">
        <f>CQ10*Предпосылки!$B$47</f>
        <v>80</v>
      </c>
      <c r="CR16" s="52">
        <f>CR10*Предпосылки!$B$47</f>
        <v>80</v>
      </c>
      <c r="CS16" s="52">
        <f>CS10*Предпосылки!$B$47</f>
        <v>80</v>
      </c>
      <c r="CT16" s="52">
        <f>CT10*Предпосылки!$B$47</f>
        <v>0</v>
      </c>
      <c r="CU16" s="52">
        <f>CU10*Предпосылки!$B$47</f>
        <v>0</v>
      </c>
      <c r="CV16" s="52">
        <f>CV10*Предпосылки!$B$47</f>
        <v>0</v>
      </c>
      <c r="CW16" s="52">
        <f>CW10*Предпосылки!$B$47</f>
        <v>0</v>
      </c>
      <c r="CX16" s="52">
        <f>CX10*Предпосылки!$B$47</f>
        <v>0</v>
      </c>
      <c r="CY16" s="52">
        <f>CY10*Предпосылки!$B$47</f>
        <v>0</v>
      </c>
      <c r="CZ16" s="52">
        <f>CZ10*Предпосылки!$B$47</f>
        <v>80</v>
      </c>
      <c r="DA16" s="52">
        <f>DA10*Предпосылки!$B$47</f>
        <v>80</v>
      </c>
      <c r="DB16" s="52">
        <f>DB10*Предпосылки!$B$47</f>
        <v>80</v>
      </c>
      <c r="DC16" s="52">
        <f>DC10*Предпосылки!$B$47</f>
        <v>80</v>
      </c>
      <c r="DD16" s="52">
        <f>DD10*Предпосылки!$B$47</f>
        <v>80</v>
      </c>
      <c r="DE16" s="52">
        <f>DE10*Предпосылки!$B$47</f>
        <v>80</v>
      </c>
      <c r="DF16" s="52">
        <f>DF10*Предпосылки!$B$47</f>
        <v>0</v>
      </c>
      <c r="DG16" s="52">
        <f>DG10*Предпосылки!$B$47</f>
        <v>0</v>
      </c>
      <c r="DH16" s="52">
        <f>DH10*Предпосылки!$B$47</f>
        <v>0</v>
      </c>
      <c r="DI16" s="52">
        <f>DI10*Предпосылки!$B$47</f>
        <v>0</v>
      </c>
      <c r="DJ16" s="52">
        <f>DJ10*Предпосылки!$B$47</f>
        <v>0</v>
      </c>
      <c r="DK16" s="52">
        <f>DK10*Предпосылки!$B$47</f>
        <v>0</v>
      </c>
      <c r="DL16" s="52">
        <f>DL10*Предпосылки!$B$47</f>
        <v>80</v>
      </c>
      <c r="DM16" s="52">
        <f>DM10*Предпосылки!$B$47</f>
        <v>80</v>
      </c>
      <c r="DN16" s="52">
        <f>DN10*Предпосылки!$B$47</f>
        <v>80</v>
      </c>
      <c r="DO16" s="52">
        <f>DO10*Предпосылки!$B$47</f>
        <v>80</v>
      </c>
      <c r="DP16" s="52">
        <f>DP10*Предпосылки!$B$47</f>
        <v>80</v>
      </c>
      <c r="DQ16" s="52">
        <f>DQ10*Предпосылки!$B$47</f>
        <v>80</v>
      </c>
      <c r="DR16" s="52">
        <f>DR10*Предпосылки!$B$47</f>
        <v>0</v>
      </c>
      <c r="DS16" s="52">
        <f>DS10*Предпосылки!$B$47</f>
        <v>0</v>
      </c>
      <c r="DT16" s="52">
        <f>DT10*Предпосылки!$B$47</f>
        <v>0</v>
      </c>
      <c r="DU16" s="52">
        <f>DU10*Предпосылки!$B$47</f>
        <v>0</v>
      </c>
      <c r="DV16" s="52">
        <f>DV10*Предпосылки!$B$47</f>
        <v>0</v>
      </c>
      <c r="DW16" s="52">
        <f>DW10*Предпосылки!$B$47</f>
        <v>0</v>
      </c>
      <c r="DX16" s="52">
        <f>DX10*Предпосылки!$B$47</f>
        <v>80</v>
      </c>
      <c r="DY16" s="52">
        <f>DY10*Предпосылки!$B$47</f>
        <v>80</v>
      </c>
      <c r="DZ16" s="52">
        <f>DZ10*Предпосылки!$B$47</f>
        <v>80</v>
      </c>
      <c r="EA16" s="52">
        <f>EA10*Предпосылки!$B$47</f>
        <v>80</v>
      </c>
      <c r="EB16" s="52">
        <f>EB10*Предпосылки!$B$47</f>
        <v>80</v>
      </c>
      <c r="EC16" s="52">
        <f>EC10*Предпосылки!$B$47</f>
        <v>80</v>
      </c>
      <c r="ED16" s="52">
        <f>ED10*Предпосылки!$B$47</f>
        <v>0</v>
      </c>
      <c r="EE16" s="52">
        <f>EE10*Предпосылки!$B$47</f>
        <v>0</v>
      </c>
      <c r="EF16" s="52">
        <f>EF10*Предпосылки!$B$47</f>
        <v>0</v>
      </c>
      <c r="EG16" s="52">
        <f>EG10*Предпосылки!$B$47</f>
        <v>0</v>
      </c>
      <c r="EH16" s="52">
        <f>EH10*Предпосылки!$B$47</f>
        <v>0</v>
      </c>
      <c r="EI16" s="52">
        <f>EI10*Предпосылки!$B$47</f>
        <v>0</v>
      </c>
      <c r="EJ16" s="52">
        <f>EJ10*Предпосылки!$B$47</f>
        <v>80</v>
      </c>
      <c r="EK16" s="52">
        <f>EK10*Предпосылки!$B$47</f>
        <v>80</v>
      </c>
      <c r="EL16" s="52">
        <f>EL10*Предпосылки!$B$47</f>
        <v>80</v>
      </c>
      <c r="EM16" s="52">
        <f>EM10*Предпосылки!$B$47</f>
        <v>80</v>
      </c>
      <c r="EN16" s="52">
        <f>EN10*Предпосылки!$B$47</f>
        <v>80</v>
      </c>
      <c r="EO16" s="52">
        <f>EO10*Предпосылки!$B$47</f>
        <v>80</v>
      </c>
      <c r="EP16" s="52">
        <f>EP10*Предпосылки!$B$47</f>
        <v>0</v>
      </c>
      <c r="EQ16" s="52">
        <f>EQ10*Предпосылки!$B$47</f>
        <v>0</v>
      </c>
      <c r="ER16" s="52">
        <f>ER10*Предпосылки!$B$47</f>
        <v>0</v>
      </c>
      <c r="ES16" s="52">
        <f>ES10*Предпосылки!$B$47</f>
        <v>0</v>
      </c>
      <c r="ET16" s="52">
        <f>ET10*Предпосылки!$B$47</f>
        <v>0</v>
      </c>
      <c r="EU16" s="52">
        <f>EU10*Предпосылки!$B$47</f>
        <v>0</v>
      </c>
      <c r="EV16" s="52">
        <f>EV10*Предпосылки!$B$47</f>
        <v>80</v>
      </c>
      <c r="EW16" s="52">
        <f>EW10*Предпосылки!$B$47</f>
        <v>80</v>
      </c>
      <c r="EX16" s="52">
        <f>EX10*Предпосылки!$B$47</f>
        <v>80</v>
      </c>
      <c r="EY16" s="52">
        <f>EY10*Предпосылки!$B$47</f>
        <v>80</v>
      </c>
      <c r="EZ16" s="52">
        <f>EZ10*Предпосылки!$B$47</f>
        <v>80</v>
      </c>
      <c r="FA16" s="52">
        <f>FA10*Предпосылки!$B$47</f>
        <v>80</v>
      </c>
      <c r="FB16" s="52">
        <f>FB10*Предпосылки!$B$47</f>
        <v>0</v>
      </c>
      <c r="FC16" s="52">
        <f>FC10*Предпосылки!$B$47</f>
        <v>0</v>
      </c>
      <c r="FD16" s="52">
        <f>FD10*Предпосылки!$B$47</f>
        <v>0</v>
      </c>
      <c r="FE16" s="52">
        <f>FE10*Предпосылки!$B$47</f>
        <v>0</v>
      </c>
      <c r="FF16" s="52">
        <f>FF10*Предпосылки!$B$47</f>
        <v>0</v>
      </c>
      <c r="FG16" s="52">
        <f>FG10*Предпосылки!$B$47</f>
        <v>0</v>
      </c>
      <c r="FH16" s="52">
        <f>FH10*Предпосылки!$B$47</f>
        <v>80</v>
      </c>
      <c r="FI16" s="52">
        <f>FI10*Предпосылки!$B$47</f>
        <v>80</v>
      </c>
      <c r="FJ16" s="52">
        <f>FJ10*Предпосылки!$B$47</f>
        <v>80</v>
      </c>
      <c r="FK16" s="52">
        <f>FK10*Предпосылки!$B$47</f>
        <v>80</v>
      </c>
      <c r="FL16" s="52">
        <f>FL10*Предпосылки!$B$47</f>
        <v>80</v>
      </c>
      <c r="FM16" s="52">
        <f>FM10*Предпосылки!$B$47</f>
        <v>80</v>
      </c>
      <c r="FN16" s="52">
        <f>FN10*Предпосылки!$B$47</f>
        <v>0</v>
      </c>
      <c r="FO16" s="52">
        <f>FO10*Предпосылки!$B$47</f>
        <v>0</v>
      </c>
    </row>
    <row r="17" spans="1:171">
      <c r="A17" s="87" t="s">
        <v>204</v>
      </c>
      <c r="B17" s="52">
        <f>B11*Предпосылки!$B$47</f>
        <v>42.666666666666671</v>
      </c>
      <c r="C17" s="52">
        <f>C11*Предпосылки!$B$47</f>
        <v>42.666666666666671</v>
      </c>
      <c r="D17" s="52">
        <f>D11*Предпосылки!$B$47</f>
        <v>42.666666666666671</v>
      </c>
      <c r="E17" s="52">
        <f>E11*Предпосылки!$B$47</f>
        <v>0</v>
      </c>
      <c r="F17" s="52">
        <f>F11*Предпосылки!$B$47</f>
        <v>0</v>
      </c>
      <c r="G17" s="52">
        <f>G11*Предпосылки!$B$47</f>
        <v>0</v>
      </c>
      <c r="H17" s="52">
        <f>H11*Предпосылки!$B$47</f>
        <v>21.333333333333336</v>
      </c>
      <c r="I17" s="52">
        <f>I11*Предпосылки!$B$47</f>
        <v>21.333333333333336</v>
      </c>
      <c r="J17" s="52">
        <f>J11*Предпосылки!$B$47</f>
        <v>21.333333333333336</v>
      </c>
      <c r="K17" s="52">
        <f>K11*Предпосылки!$B$47</f>
        <v>21.333333333333336</v>
      </c>
      <c r="L17" s="52">
        <f>L11*Предпосылки!$B$47</f>
        <v>21.333333333333336</v>
      </c>
      <c r="M17" s="52">
        <f>M11*Предпосылки!$B$47</f>
        <v>21.333333333333336</v>
      </c>
      <c r="N17" s="52">
        <f>N11*Предпосылки!$B$47</f>
        <v>0</v>
      </c>
      <c r="O17" s="52">
        <f>O11*Предпосылки!$B$47</f>
        <v>0</v>
      </c>
      <c r="P17" s="52">
        <f>P11*Предпосылки!$B$47</f>
        <v>0</v>
      </c>
      <c r="Q17" s="52">
        <f>Q11*Предпосылки!$B$47</f>
        <v>0</v>
      </c>
      <c r="R17" s="52">
        <f>R11*Предпосылки!$B$47</f>
        <v>0</v>
      </c>
      <c r="S17" s="52">
        <f>S11*Предпосылки!$B$47</f>
        <v>0</v>
      </c>
      <c r="T17" s="52">
        <f>T11*Предпосылки!$B$47</f>
        <v>21.333333333333336</v>
      </c>
      <c r="U17" s="52">
        <f>U11*Предпосылки!$B$47</f>
        <v>21.333333333333336</v>
      </c>
      <c r="V17" s="52">
        <f>V11*Предпосылки!$B$47</f>
        <v>21.333333333333336</v>
      </c>
      <c r="W17" s="52">
        <f>W11*Предпосылки!$B$47</f>
        <v>21.333333333333336</v>
      </c>
      <c r="X17" s="52">
        <f>X11*Предпосылки!$B$47</f>
        <v>21.333333333333336</v>
      </c>
      <c r="Y17" s="52">
        <f>Y11*Предпосылки!$B$47</f>
        <v>21.333333333333336</v>
      </c>
      <c r="Z17" s="52">
        <f>Z11*Предпосылки!$B$47</f>
        <v>0</v>
      </c>
      <c r="AA17" s="52">
        <f>AA11*Предпосылки!$B$47</f>
        <v>0</v>
      </c>
      <c r="AB17" s="52">
        <f>AB11*Предпосылки!$B$47</f>
        <v>0</v>
      </c>
      <c r="AC17" s="52">
        <f>AC11*Предпосылки!$B$47</f>
        <v>0</v>
      </c>
      <c r="AD17" s="52">
        <f>AD11*Предпосылки!$B$47</f>
        <v>0</v>
      </c>
      <c r="AE17" s="52">
        <f>AE11*Предпосылки!$B$47</f>
        <v>0</v>
      </c>
      <c r="AF17" s="52">
        <f>AF11*Предпосылки!$B$47</f>
        <v>21.333333333333336</v>
      </c>
      <c r="AG17" s="52">
        <f>AG11*Предпосылки!$B$47</f>
        <v>21.333333333333336</v>
      </c>
      <c r="AH17" s="52">
        <f>AH11*Предпосылки!$B$47</f>
        <v>21.333333333333336</v>
      </c>
      <c r="AI17" s="52">
        <f>AI11*Предпосылки!$B$47</f>
        <v>21.333333333333336</v>
      </c>
      <c r="AJ17" s="52">
        <f>AJ11*Предпосылки!$B$47</f>
        <v>21.333333333333336</v>
      </c>
      <c r="AK17" s="52">
        <f>AK11*Предпосылки!$B$47</f>
        <v>21.333333333333336</v>
      </c>
      <c r="AL17" s="52">
        <f>AL11*Предпосылки!$B$47</f>
        <v>0</v>
      </c>
      <c r="AM17" s="52">
        <f>AM11*Предпосылки!$B$47</f>
        <v>0</v>
      </c>
      <c r="AN17" s="52">
        <f>AN11*Предпосылки!$B$47</f>
        <v>0</v>
      </c>
      <c r="AO17" s="52">
        <f>AO11*Предпосылки!$B$47</f>
        <v>0</v>
      </c>
      <c r="AP17" s="52">
        <f>AP11*Предпосылки!$B$47</f>
        <v>0</v>
      </c>
      <c r="AQ17" s="52">
        <f>AQ11*Предпосылки!$B$47</f>
        <v>0</v>
      </c>
      <c r="AR17" s="52">
        <f>AR11*Предпосылки!$B$47</f>
        <v>21.333333333333336</v>
      </c>
      <c r="AS17" s="52">
        <f>AS11*Предпосылки!$B$47</f>
        <v>21.333333333333336</v>
      </c>
      <c r="AT17" s="52">
        <f>AT11*Предпосылки!$B$47</f>
        <v>21.333333333333336</v>
      </c>
      <c r="AU17" s="52">
        <f>AU11*Предпосылки!$B$47</f>
        <v>21.333333333333336</v>
      </c>
      <c r="AV17" s="52">
        <f>AV11*Предпосылки!$B$47</f>
        <v>21.333333333333336</v>
      </c>
      <c r="AW17" s="52">
        <f>AW11*Предпосылки!$B$47</f>
        <v>21.333333333333336</v>
      </c>
      <c r="AX17" s="52">
        <f>AX11*Предпосылки!$B$47</f>
        <v>0</v>
      </c>
      <c r="AY17" s="52">
        <f>AY11*Предпосылки!$B$47</f>
        <v>0</v>
      </c>
      <c r="AZ17" s="52">
        <f>AZ11*Предпосылки!$B$47</f>
        <v>0</v>
      </c>
      <c r="BA17" s="52">
        <f>BA11*Предпосылки!$B$47</f>
        <v>0</v>
      </c>
      <c r="BB17" s="52">
        <f>BB11*Предпосылки!$B$47</f>
        <v>0</v>
      </c>
      <c r="BC17" s="52">
        <f>BC11*Предпосылки!$B$47</f>
        <v>0</v>
      </c>
      <c r="BD17" s="52">
        <f>BD11*Предпосылки!$B$47</f>
        <v>21.333333333333336</v>
      </c>
      <c r="BE17" s="52">
        <f>BE11*Предпосылки!$B$47</f>
        <v>21.333333333333336</v>
      </c>
      <c r="BF17" s="52">
        <f>BF11*Предпосылки!$B$47</f>
        <v>21.333333333333336</v>
      </c>
      <c r="BG17" s="52">
        <f>BG11*Предпосылки!$B$47</f>
        <v>21.333333333333336</v>
      </c>
      <c r="BH17" s="52">
        <f>BH11*Предпосылки!$B$47</f>
        <v>21.333333333333336</v>
      </c>
      <c r="BI17" s="52">
        <f>BI11*Предпосылки!$B$47</f>
        <v>21.333333333333336</v>
      </c>
      <c r="BJ17" s="52">
        <f>BJ11*Предпосылки!$B$47</f>
        <v>0</v>
      </c>
      <c r="BK17" s="52">
        <f>BK11*Предпосылки!$B$47</f>
        <v>0</v>
      </c>
      <c r="BL17" s="52">
        <f>BL11*Предпосылки!$B$47</f>
        <v>0</v>
      </c>
      <c r="BM17" s="52">
        <f>BM11*Предпосылки!$B$47</f>
        <v>0</v>
      </c>
      <c r="BN17" s="52">
        <f>BN11*Предпосылки!$B$47</f>
        <v>0</v>
      </c>
      <c r="BO17" s="52">
        <f>BO11*Предпосылки!$B$47</f>
        <v>0</v>
      </c>
      <c r="BP17" s="52">
        <f>BP11*Предпосылки!$B$47</f>
        <v>21.333333333333336</v>
      </c>
      <c r="BQ17" s="52">
        <f>BQ11*Предпосылки!$B$47</f>
        <v>21.333333333333336</v>
      </c>
      <c r="BR17" s="52">
        <f>BR11*Предпосылки!$B$47</f>
        <v>21.333333333333336</v>
      </c>
      <c r="BS17" s="52">
        <f>BS11*Предпосылки!$B$47</f>
        <v>21.333333333333336</v>
      </c>
      <c r="BT17" s="52">
        <f>BT11*Предпосылки!$B$47</f>
        <v>21.333333333333336</v>
      </c>
      <c r="BU17" s="52">
        <f>BU11*Предпосылки!$B$47</f>
        <v>21.333333333333336</v>
      </c>
      <c r="BV17" s="52">
        <f>BV11*Предпосылки!$B$47</f>
        <v>0</v>
      </c>
      <c r="BW17" s="52">
        <f>BW11*Предпосылки!$B$47</f>
        <v>0</v>
      </c>
      <c r="BX17" s="52">
        <f>BX11*Предпосылки!$B$47</f>
        <v>0</v>
      </c>
      <c r="BY17" s="52">
        <f>BY11*Предпосылки!$B$47</f>
        <v>0</v>
      </c>
      <c r="BZ17" s="52">
        <f>BZ11*Предпосылки!$B$47</f>
        <v>0</v>
      </c>
      <c r="CA17" s="52">
        <f>CA11*Предпосылки!$B$47</f>
        <v>0</v>
      </c>
      <c r="CB17" s="52">
        <f>CB11*Предпосылки!$B$47</f>
        <v>21.333333333333336</v>
      </c>
      <c r="CC17" s="52">
        <f>CC11*Предпосылки!$B$47</f>
        <v>21.333333333333336</v>
      </c>
      <c r="CD17" s="52">
        <f>CD11*Предпосылки!$B$47</f>
        <v>21.333333333333336</v>
      </c>
      <c r="CE17" s="52">
        <f>CE11*Предпосылки!$B$47</f>
        <v>21.333333333333336</v>
      </c>
      <c r="CF17" s="52">
        <f>CF11*Предпосылки!$B$47</f>
        <v>21.333333333333336</v>
      </c>
      <c r="CG17" s="52">
        <f>CG11*Предпосылки!$B$47</f>
        <v>21.333333333333336</v>
      </c>
      <c r="CH17" s="52">
        <f>CH11*Предпосылки!$B$47</f>
        <v>0</v>
      </c>
      <c r="CI17" s="52">
        <f>CI11*Предпосылки!$B$47</f>
        <v>0</v>
      </c>
      <c r="CJ17" s="52">
        <f>CJ11*Предпосылки!$B$47</f>
        <v>0</v>
      </c>
      <c r="CK17" s="52">
        <f>CK11*Предпосылки!$B$47</f>
        <v>0</v>
      </c>
      <c r="CL17" s="52">
        <f>CL11*Предпосылки!$B$47</f>
        <v>0</v>
      </c>
      <c r="CM17" s="52">
        <f>CM11*Предпосылки!$B$47</f>
        <v>0</v>
      </c>
      <c r="CN17" s="52">
        <f>CN11*Предпосылки!$B$47</f>
        <v>21.333333333333336</v>
      </c>
      <c r="CO17" s="52">
        <f>CO11*Предпосылки!$B$47</f>
        <v>21.333333333333336</v>
      </c>
      <c r="CP17" s="52">
        <f>CP11*Предпосылки!$B$47</f>
        <v>21.333333333333336</v>
      </c>
      <c r="CQ17" s="52">
        <f>CQ11*Предпосылки!$B$47</f>
        <v>21.333333333333336</v>
      </c>
      <c r="CR17" s="52">
        <f>CR11*Предпосылки!$B$47</f>
        <v>21.333333333333336</v>
      </c>
      <c r="CS17" s="52">
        <f>CS11*Предпосылки!$B$47</f>
        <v>21.333333333333336</v>
      </c>
      <c r="CT17" s="52">
        <f>CT11*Предпосылки!$B$47</f>
        <v>0</v>
      </c>
      <c r="CU17" s="52">
        <f>CU11*Предпосылки!$B$47</f>
        <v>0</v>
      </c>
      <c r="CV17" s="52">
        <f>CV11*Предпосылки!$B$47</f>
        <v>0</v>
      </c>
      <c r="CW17" s="52">
        <f>CW11*Предпосылки!$B$47</f>
        <v>0</v>
      </c>
      <c r="CX17" s="52">
        <f>CX11*Предпосылки!$B$47</f>
        <v>0</v>
      </c>
      <c r="CY17" s="52">
        <f>CY11*Предпосылки!$B$47</f>
        <v>0</v>
      </c>
      <c r="CZ17" s="52">
        <f>CZ11*Предпосылки!$B$47</f>
        <v>21.333333333333336</v>
      </c>
      <c r="DA17" s="52">
        <f>DA11*Предпосылки!$B$47</f>
        <v>21.333333333333336</v>
      </c>
      <c r="DB17" s="52">
        <f>DB11*Предпосылки!$B$47</f>
        <v>21.333333333333336</v>
      </c>
      <c r="DC17" s="52">
        <f>DC11*Предпосылки!$B$47</f>
        <v>21.333333333333336</v>
      </c>
      <c r="DD17" s="52">
        <f>DD11*Предпосылки!$B$47</f>
        <v>21.333333333333336</v>
      </c>
      <c r="DE17" s="52">
        <f>DE11*Предпосылки!$B$47</f>
        <v>21.333333333333336</v>
      </c>
      <c r="DF17" s="52">
        <f>DF11*Предпосылки!$B$47</f>
        <v>0</v>
      </c>
      <c r="DG17" s="52">
        <f>DG11*Предпосылки!$B$47</f>
        <v>0</v>
      </c>
      <c r="DH17" s="52">
        <f>DH11*Предпосылки!$B$47</f>
        <v>0</v>
      </c>
      <c r="DI17" s="52">
        <f>DI11*Предпосылки!$B$47</f>
        <v>0</v>
      </c>
      <c r="DJ17" s="52">
        <f>DJ11*Предпосылки!$B$47</f>
        <v>0</v>
      </c>
      <c r="DK17" s="52">
        <f>DK11*Предпосылки!$B$47</f>
        <v>0</v>
      </c>
      <c r="DL17" s="52">
        <f>DL11*Предпосылки!$B$47</f>
        <v>21.333333333333336</v>
      </c>
      <c r="DM17" s="52">
        <f>DM11*Предпосылки!$B$47</f>
        <v>21.333333333333336</v>
      </c>
      <c r="DN17" s="52">
        <f>DN11*Предпосылки!$B$47</f>
        <v>21.333333333333336</v>
      </c>
      <c r="DO17" s="52">
        <f>DO11*Предпосылки!$B$47</f>
        <v>21.333333333333336</v>
      </c>
      <c r="DP17" s="52">
        <f>DP11*Предпосылки!$B$47</f>
        <v>21.333333333333336</v>
      </c>
      <c r="DQ17" s="52">
        <f>DQ11*Предпосылки!$B$47</f>
        <v>21.333333333333336</v>
      </c>
      <c r="DR17" s="52">
        <f>DR11*Предпосылки!$B$47</f>
        <v>0</v>
      </c>
      <c r="DS17" s="52">
        <f>DS11*Предпосылки!$B$47</f>
        <v>0</v>
      </c>
      <c r="DT17" s="52">
        <f>DT11*Предпосылки!$B$47</f>
        <v>0</v>
      </c>
      <c r="DU17" s="52">
        <f>DU11*Предпосылки!$B$47</f>
        <v>0</v>
      </c>
      <c r="DV17" s="52">
        <f>DV11*Предпосылки!$B$47</f>
        <v>0</v>
      </c>
      <c r="DW17" s="52">
        <f>DW11*Предпосылки!$B$47</f>
        <v>0</v>
      </c>
      <c r="DX17" s="52">
        <f>DX11*Предпосылки!$B$47</f>
        <v>21.333333333333336</v>
      </c>
      <c r="DY17" s="52">
        <f>DY11*Предпосылки!$B$47</f>
        <v>21.333333333333336</v>
      </c>
      <c r="DZ17" s="52">
        <f>DZ11*Предпосылки!$B$47</f>
        <v>21.333333333333336</v>
      </c>
      <c r="EA17" s="52">
        <f>EA11*Предпосылки!$B$47</f>
        <v>21.333333333333336</v>
      </c>
      <c r="EB17" s="52">
        <f>EB11*Предпосылки!$B$47</f>
        <v>21.333333333333336</v>
      </c>
      <c r="EC17" s="52">
        <f>EC11*Предпосылки!$B$47</f>
        <v>21.333333333333336</v>
      </c>
      <c r="ED17" s="52">
        <f>ED11*Предпосылки!$B$47</f>
        <v>0</v>
      </c>
      <c r="EE17" s="52">
        <f>EE11*Предпосылки!$B$47</f>
        <v>0</v>
      </c>
      <c r="EF17" s="52">
        <f>EF11*Предпосылки!$B$47</f>
        <v>0</v>
      </c>
      <c r="EG17" s="52">
        <f>EG11*Предпосылки!$B$47</f>
        <v>0</v>
      </c>
      <c r="EH17" s="52">
        <f>EH11*Предпосылки!$B$47</f>
        <v>0</v>
      </c>
      <c r="EI17" s="52">
        <f>EI11*Предпосылки!$B$47</f>
        <v>0</v>
      </c>
      <c r="EJ17" s="52">
        <f>EJ11*Предпосылки!$B$47</f>
        <v>21.333333333333336</v>
      </c>
      <c r="EK17" s="52">
        <f>EK11*Предпосылки!$B$47</f>
        <v>21.333333333333336</v>
      </c>
      <c r="EL17" s="52">
        <f>EL11*Предпосылки!$B$47</f>
        <v>21.333333333333336</v>
      </c>
      <c r="EM17" s="52">
        <f>EM11*Предпосылки!$B$47</f>
        <v>21.333333333333336</v>
      </c>
      <c r="EN17" s="52">
        <f>EN11*Предпосылки!$B$47</f>
        <v>21.333333333333336</v>
      </c>
      <c r="EO17" s="52">
        <f>EO11*Предпосылки!$B$47</f>
        <v>21.333333333333336</v>
      </c>
      <c r="EP17" s="52">
        <f>EP11*Предпосылки!$B$47</f>
        <v>0</v>
      </c>
      <c r="EQ17" s="52">
        <f>EQ11*Предпосылки!$B$47</f>
        <v>0</v>
      </c>
      <c r="ER17" s="52">
        <f>ER11*Предпосылки!$B$47</f>
        <v>0</v>
      </c>
      <c r="ES17" s="52">
        <f>ES11*Предпосылки!$B$47</f>
        <v>0</v>
      </c>
      <c r="ET17" s="52">
        <f>ET11*Предпосылки!$B$47</f>
        <v>0</v>
      </c>
      <c r="EU17" s="52">
        <f>EU11*Предпосылки!$B$47</f>
        <v>0</v>
      </c>
      <c r="EV17" s="52">
        <f>EV11*Предпосылки!$B$47</f>
        <v>21.333333333333336</v>
      </c>
      <c r="EW17" s="52">
        <f>EW11*Предпосылки!$B$47</f>
        <v>21.333333333333336</v>
      </c>
      <c r="EX17" s="52">
        <f>EX11*Предпосылки!$B$47</f>
        <v>21.333333333333336</v>
      </c>
      <c r="EY17" s="52">
        <f>EY11*Предпосылки!$B$47</f>
        <v>21.333333333333336</v>
      </c>
      <c r="EZ17" s="52">
        <f>EZ11*Предпосылки!$B$47</f>
        <v>21.333333333333336</v>
      </c>
      <c r="FA17" s="52">
        <f>FA11*Предпосылки!$B$47</f>
        <v>21.333333333333336</v>
      </c>
      <c r="FB17" s="52">
        <f>FB11*Предпосылки!$B$47</f>
        <v>0</v>
      </c>
      <c r="FC17" s="52">
        <f>FC11*Предпосылки!$B$47</f>
        <v>0</v>
      </c>
      <c r="FD17" s="52">
        <f>FD11*Предпосылки!$B$47</f>
        <v>0</v>
      </c>
      <c r="FE17" s="52">
        <f>FE11*Предпосылки!$B$47</f>
        <v>0</v>
      </c>
      <c r="FF17" s="52">
        <f>FF11*Предпосылки!$B$47</f>
        <v>0</v>
      </c>
      <c r="FG17" s="52">
        <f>FG11*Предпосылки!$B$47</f>
        <v>0</v>
      </c>
      <c r="FH17" s="52">
        <f>FH11*Предпосылки!$B$47</f>
        <v>21.333333333333336</v>
      </c>
      <c r="FI17" s="52">
        <f>FI11*Предпосылки!$B$47</f>
        <v>21.333333333333336</v>
      </c>
      <c r="FJ17" s="52">
        <f>FJ11*Предпосылки!$B$47</f>
        <v>21.333333333333336</v>
      </c>
      <c r="FK17" s="52">
        <f>FK11*Предпосылки!$B$47</f>
        <v>21.333333333333336</v>
      </c>
      <c r="FL17" s="52">
        <f>FL11*Предпосылки!$B$47</f>
        <v>21.333333333333336</v>
      </c>
      <c r="FM17" s="52">
        <f>FM11*Предпосылки!$B$47</f>
        <v>21.333333333333336</v>
      </c>
      <c r="FN17" s="52">
        <f>FN11*Предпосылки!$B$47</f>
        <v>0</v>
      </c>
      <c r="FO17" s="52">
        <f>FO11*Предпосылки!$B$47</f>
        <v>0</v>
      </c>
    </row>
    <row r="18" spans="1:171">
      <c r="A18" s="87" t="s">
        <v>205</v>
      </c>
      <c r="B18" s="52">
        <f>B12*Предпосылки!$B$47</f>
        <v>42.666666666666671</v>
      </c>
      <c r="C18" s="52">
        <f>C12*Предпосылки!$B$47</f>
        <v>42.666666666666671</v>
      </c>
      <c r="D18" s="52">
        <f>D12*Предпосылки!$B$47</f>
        <v>42.666666666666671</v>
      </c>
      <c r="E18" s="52">
        <f>E12*Предпосылки!$B$47</f>
        <v>0</v>
      </c>
      <c r="F18" s="52">
        <f>F12*Предпосылки!$B$47</f>
        <v>0</v>
      </c>
      <c r="G18" s="52">
        <f>G12*Предпосылки!$B$47</f>
        <v>0</v>
      </c>
      <c r="H18" s="52">
        <f>H12*Предпосылки!$B$47</f>
        <v>21.333333333333336</v>
      </c>
      <c r="I18" s="52">
        <f>I12*Предпосылки!$B$47</f>
        <v>21.333333333333336</v>
      </c>
      <c r="J18" s="52">
        <f>J12*Предпосылки!$B$47</f>
        <v>21.333333333333336</v>
      </c>
      <c r="K18" s="52">
        <f>K12*Предпосылки!$B$47</f>
        <v>21.333333333333336</v>
      </c>
      <c r="L18" s="52">
        <f>L12*Предпосылки!$B$47</f>
        <v>21.333333333333336</v>
      </c>
      <c r="M18" s="52">
        <f>M12*Предпосылки!$B$47</f>
        <v>21.333333333333336</v>
      </c>
      <c r="N18" s="52">
        <f>N12*Предпосылки!$B$47</f>
        <v>0</v>
      </c>
      <c r="O18" s="52">
        <f>O12*Предпосылки!$B$47</f>
        <v>0</v>
      </c>
      <c r="P18" s="52">
        <f>P12*Предпосылки!$B$47</f>
        <v>0</v>
      </c>
      <c r="Q18" s="52">
        <f>Q12*Предпосылки!$B$47</f>
        <v>0</v>
      </c>
      <c r="R18" s="52">
        <f>R12*Предпосылки!$B$47</f>
        <v>0</v>
      </c>
      <c r="S18" s="52">
        <f>S12*Предпосылки!$B$47</f>
        <v>0</v>
      </c>
      <c r="T18" s="52">
        <f>T12*Предпосылки!$B$47</f>
        <v>21.333333333333336</v>
      </c>
      <c r="U18" s="52">
        <f>U12*Предпосылки!$B$47</f>
        <v>21.333333333333336</v>
      </c>
      <c r="V18" s="52">
        <f>V12*Предпосылки!$B$47</f>
        <v>21.333333333333336</v>
      </c>
      <c r="W18" s="52">
        <f>W12*Предпосылки!$B$47</f>
        <v>21.333333333333336</v>
      </c>
      <c r="X18" s="52">
        <f>X12*Предпосылки!$B$47</f>
        <v>21.333333333333336</v>
      </c>
      <c r="Y18" s="52">
        <f>Y12*Предпосылки!$B$47</f>
        <v>21.333333333333336</v>
      </c>
      <c r="Z18" s="52">
        <f>Z12*Предпосылки!$B$47</f>
        <v>0</v>
      </c>
      <c r="AA18" s="52">
        <f>AA12*Предпосылки!$B$47</f>
        <v>0</v>
      </c>
      <c r="AB18" s="52">
        <f>AB12*Предпосылки!$B$47</f>
        <v>0</v>
      </c>
      <c r="AC18" s="52">
        <f>AC12*Предпосылки!$B$47</f>
        <v>0</v>
      </c>
      <c r="AD18" s="52">
        <f>AD12*Предпосылки!$B$47</f>
        <v>0</v>
      </c>
      <c r="AE18" s="52">
        <f>AE12*Предпосылки!$B$47</f>
        <v>0</v>
      </c>
      <c r="AF18" s="52">
        <f>AF12*Предпосылки!$B$47</f>
        <v>21.333333333333336</v>
      </c>
      <c r="AG18" s="52">
        <f>AG12*Предпосылки!$B$47</f>
        <v>21.333333333333336</v>
      </c>
      <c r="AH18" s="52">
        <f>AH12*Предпосылки!$B$47</f>
        <v>21.333333333333336</v>
      </c>
      <c r="AI18" s="52">
        <f>AI12*Предпосылки!$B$47</f>
        <v>21.333333333333336</v>
      </c>
      <c r="AJ18" s="52">
        <f>AJ12*Предпосылки!$B$47</f>
        <v>21.333333333333336</v>
      </c>
      <c r="AK18" s="52">
        <f>AK12*Предпосылки!$B$47</f>
        <v>21.333333333333336</v>
      </c>
      <c r="AL18" s="52">
        <f>AL12*Предпосылки!$B$47</f>
        <v>0</v>
      </c>
      <c r="AM18" s="52">
        <f>AM12*Предпосылки!$B$47</f>
        <v>0</v>
      </c>
      <c r="AN18" s="52">
        <f>AN12*Предпосылки!$B$47</f>
        <v>0</v>
      </c>
      <c r="AO18" s="52">
        <f>AO12*Предпосылки!$B$47</f>
        <v>0</v>
      </c>
      <c r="AP18" s="52">
        <f>AP12*Предпосылки!$B$47</f>
        <v>0</v>
      </c>
      <c r="AQ18" s="52">
        <f>AQ12*Предпосылки!$B$47</f>
        <v>0</v>
      </c>
      <c r="AR18" s="52">
        <f>AR12*Предпосылки!$B$47</f>
        <v>21.333333333333336</v>
      </c>
      <c r="AS18" s="52">
        <f>AS12*Предпосылки!$B$47</f>
        <v>21.333333333333336</v>
      </c>
      <c r="AT18" s="52">
        <f>AT12*Предпосылки!$B$47</f>
        <v>21.333333333333336</v>
      </c>
      <c r="AU18" s="52">
        <f>AU12*Предпосылки!$B$47</f>
        <v>21.333333333333336</v>
      </c>
      <c r="AV18" s="52">
        <f>AV12*Предпосылки!$B$47</f>
        <v>21.333333333333336</v>
      </c>
      <c r="AW18" s="52">
        <f>AW12*Предпосылки!$B$47</f>
        <v>21.333333333333336</v>
      </c>
      <c r="AX18" s="52">
        <f>AX12*Предпосылки!$B$47</f>
        <v>0</v>
      </c>
      <c r="AY18" s="52">
        <f>AY12*Предпосылки!$B$47</f>
        <v>0</v>
      </c>
      <c r="AZ18" s="52">
        <f>AZ12*Предпосылки!$B$47</f>
        <v>0</v>
      </c>
      <c r="BA18" s="52">
        <f>BA12*Предпосылки!$B$47</f>
        <v>0</v>
      </c>
      <c r="BB18" s="52">
        <f>BB12*Предпосылки!$B$47</f>
        <v>0</v>
      </c>
      <c r="BC18" s="52">
        <f>BC12*Предпосылки!$B$47</f>
        <v>0</v>
      </c>
      <c r="BD18" s="52">
        <f>BD12*Предпосылки!$B$47</f>
        <v>21.333333333333336</v>
      </c>
      <c r="BE18" s="52">
        <f>BE12*Предпосылки!$B$47</f>
        <v>21.333333333333336</v>
      </c>
      <c r="BF18" s="52">
        <f>BF12*Предпосылки!$B$47</f>
        <v>21.333333333333336</v>
      </c>
      <c r="BG18" s="52">
        <f>BG12*Предпосылки!$B$47</f>
        <v>21.333333333333336</v>
      </c>
      <c r="BH18" s="52">
        <f>BH12*Предпосылки!$B$47</f>
        <v>21.333333333333336</v>
      </c>
      <c r="BI18" s="52">
        <f>BI12*Предпосылки!$B$47</f>
        <v>21.333333333333336</v>
      </c>
      <c r="BJ18" s="52">
        <f>BJ12*Предпосылки!$B$47</f>
        <v>0</v>
      </c>
      <c r="BK18" s="52">
        <f>BK12*Предпосылки!$B$47</f>
        <v>0</v>
      </c>
      <c r="BL18" s="52">
        <f>BL12*Предпосылки!$B$47</f>
        <v>0</v>
      </c>
      <c r="BM18" s="52">
        <f>BM12*Предпосылки!$B$47</f>
        <v>0</v>
      </c>
      <c r="BN18" s="52">
        <f>BN12*Предпосылки!$B$47</f>
        <v>0</v>
      </c>
      <c r="BO18" s="52">
        <f>BO12*Предпосылки!$B$47</f>
        <v>0</v>
      </c>
      <c r="BP18" s="52">
        <f>BP12*Предпосылки!$B$47</f>
        <v>21.333333333333336</v>
      </c>
      <c r="BQ18" s="52">
        <f>BQ12*Предпосылки!$B$47</f>
        <v>21.333333333333336</v>
      </c>
      <c r="BR18" s="52">
        <f>BR12*Предпосылки!$B$47</f>
        <v>21.333333333333336</v>
      </c>
      <c r="BS18" s="52">
        <f>BS12*Предпосылки!$B$47</f>
        <v>21.333333333333336</v>
      </c>
      <c r="BT18" s="52">
        <f>BT12*Предпосылки!$B$47</f>
        <v>21.333333333333336</v>
      </c>
      <c r="BU18" s="52">
        <f>BU12*Предпосылки!$B$47</f>
        <v>21.333333333333336</v>
      </c>
      <c r="BV18" s="52">
        <f>BV12*Предпосылки!$B$47</f>
        <v>0</v>
      </c>
      <c r="BW18" s="52">
        <f>BW12*Предпосылки!$B$47</f>
        <v>0</v>
      </c>
      <c r="BX18" s="52">
        <f>BX12*Предпосылки!$B$47</f>
        <v>0</v>
      </c>
      <c r="BY18" s="52">
        <f>BY12*Предпосылки!$B$47</f>
        <v>0</v>
      </c>
      <c r="BZ18" s="52">
        <f>BZ12*Предпосылки!$B$47</f>
        <v>0</v>
      </c>
      <c r="CA18" s="52">
        <f>CA12*Предпосылки!$B$47</f>
        <v>0</v>
      </c>
      <c r="CB18" s="52">
        <f>CB12*Предпосылки!$B$47</f>
        <v>21.333333333333336</v>
      </c>
      <c r="CC18" s="52">
        <f>CC12*Предпосылки!$B$47</f>
        <v>21.333333333333336</v>
      </c>
      <c r="CD18" s="52">
        <f>CD12*Предпосылки!$B$47</f>
        <v>21.333333333333336</v>
      </c>
      <c r="CE18" s="52">
        <f>CE12*Предпосылки!$B$47</f>
        <v>21.333333333333336</v>
      </c>
      <c r="CF18" s="52">
        <f>CF12*Предпосылки!$B$47</f>
        <v>21.333333333333336</v>
      </c>
      <c r="CG18" s="52">
        <f>CG12*Предпосылки!$B$47</f>
        <v>21.333333333333336</v>
      </c>
      <c r="CH18" s="52">
        <f>CH12*Предпосылки!$B$47</f>
        <v>0</v>
      </c>
      <c r="CI18" s="52">
        <f>CI12*Предпосылки!$B$47</f>
        <v>0</v>
      </c>
      <c r="CJ18" s="52">
        <f>CJ12*Предпосылки!$B$47</f>
        <v>0</v>
      </c>
      <c r="CK18" s="52">
        <f>CK12*Предпосылки!$B$47</f>
        <v>0</v>
      </c>
      <c r="CL18" s="52">
        <f>CL12*Предпосылки!$B$47</f>
        <v>0</v>
      </c>
      <c r="CM18" s="52">
        <f>CM12*Предпосылки!$B$47</f>
        <v>0</v>
      </c>
      <c r="CN18" s="52">
        <f>CN12*Предпосылки!$B$47</f>
        <v>21.333333333333336</v>
      </c>
      <c r="CO18" s="52">
        <f>CO12*Предпосылки!$B$47</f>
        <v>21.333333333333336</v>
      </c>
      <c r="CP18" s="52">
        <f>CP12*Предпосылки!$B$47</f>
        <v>21.333333333333336</v>
      </c>
      <c r="CQ18" s="52">
        <f>CQ12*Предпосылки!$B$47</f>
        <v>21.333333333333336</v>
      </c>
      <c r="CR18" s="52">
        <f>CR12*Предпосылки!$B$47</f>
        <v>21.333333333333336</v>
      </c>
      <c r="CS18" s="52">
        <f>CS12*Предпосылки!$B$47</f>
        <v>21.333333333333336</v>
      </c>
      <c r="CT18" s="52">
        <f>CT12*Предпосылки!$B$47</f>
        <v>0</v>
      </c>
      <c r="CU18" s="52">
        <f>CU12*Предпосылки!$B$47</f>
        <v>0</v>
      </c>
      <c r="CV18" s="52">
        <f>CV12*Предпосылки!$B$47</f>
        <v>0</v>
      </c>
      <c r="CW18" s="52">
        <f>CW12*Предпосылки!$B$47</f>
        <v>0</v>
      </c>
      <c r="CX18" s="52">
        <f>CX12*Предпосылки!$B$47</f>
        <v>0</v>
      </c>
      <c r="CY18" s="52">
        <f>CY12*Предпосылки!$B$47</f>
        <v>0</v>
      </c>
      <c r="CZ18" s="52">
        <f>CZ12*Предпосылки!$B$47</f>
        <v>21.333333333333336</v>
      </c>
      <c r="DA18" s="52">
        <f>DA12*Предпосылки!$B$47</f>
        <v>21.333333333333336</v>
      </c>
      <c r="DB18" s="52">
        <f>DB12*Предпосылки!$B$47</f>
        <v>21.333333333333336</v>
      </c>
      <c r="DC18" s="52">
        <f>DC12*Предпосылки!$B$47</f>
        <v>21.333333333333336</v>
      </c>
      <c r="DD18" s="52">
        <f>DD12*Предпосылки!$B$47</f>
        <v>21.333333333333336</v>
      </c>
      <c r="DE18" s="52">
        <f>DE12*Предпосылки!$B$47</f>
        <v>21.333333333333336</v>
      </c>
      <c r="DF18" s="52">
        <f>DF12*Предпосылки!$B$47</f>
        <v>0</v>
      </c>
      <c r="DG18" s="52">
        <f>DG12*Предпосылки!$B$47</f>
        <v>0</v>
      </c>
      <c r="DH18" s="52">
        <f>DH12*Предпосылки!$B$47</f>
        <v>0</v>
      </c>
      <c r="DI18" s="52">
        <f>DI12*Предпосылки!$B$47</f>
        <v>0</v>
      </c>
      <c r="DJ18" s="52">
        <f>DJ12*Предпосылки!$B$47</f>
        <v>0</v>
      </c>
      <c r="DK18" s="52">
        <f>DK12*Предпосылки!$B$47</f>
        <v>0</v>
      </c>
      <c r="DL18" s="52">
        <f>DL12*Предпосылки!$B$47</f>
        <v>21.333333333333336</v>
      </c>
      <c r="DM18" s="52">
        <f>DM12*Предпосылки!$B$47</f>
        <v>21.333333333333336</v>
      </c>
      <c r="DN18" s="52">
        <f>DN12*Предпосылки!$B$47</f>
        <v>21.333333333333336</v>
      </c>
      <c r="DO18" s="52">
        <f>DO12*Предпосылки!$B$47</f>
        <v>21.333333333333336</v>
      </c>
      <c r="DP18" s="52">
        <f>DP12*Предпосылки!$B$47</f>
        <v>21.333333333333336</v>
      </c>
      <c r="DQ18" s="52">
        <f>DQ12*Предпосылки!$B$47</f>
        <v>21.333333333333336</v>
      </c>
      <c r="DR18" s="52">
        <f>DR12*Предпосылки!$B$47</f>
        <v>0</v>
      </c>
      <c r="DS18" s="52">
        <f>DS12*Предпосылки!$B$47</f>
        <v>0</v>
      </c>
      <c r="DT18" s="52">
        <f>DT12*Предпосылки!$B$47</f>
        <v>0</v>
      </c>
      <c r="DU18" s="52">
        <f>DU12*Предпосылки!$B$47</f>
        <v>0</v>
      </c>
      <c r="DV18" s="52">
        <f>DV12*Предпосылки!$B$47</f>
        <v>0</v>
      </c>
      <c r="DW18" s="52">
        <f>DW12*Предпосылки!$B$47</f>
        <v>0</v>
      </c>
      <c r="DX18" s="52">
        <f>DX12*Предпосылки!$B$47</f>
        <v>21.333333333333336</v>
      </c>
      <c r="DY18" s="52">
        <f>DY12*Предпосылки!$B$47</f>
        <v>21.333333333333336</v>
      </c>
      <c r="DZ18" s="52">
        <f>DZ12*Предпосылки!$B$47</f>
        <v>21.333333333333336</v>
      </c>
      <c r="EA18" s="52">
        <f>EA12*Предпосылки!$B$47</f>
        <v>21.333333333333336</v>
      </c>
      <c r="EB18" s="52">
        <f>EB12*Предпосылки!$B$47</f>
        <v>21.333333333333336</v>
      </c>
      <c r="EC18" s="52">
        <f>EC12*Предпосылки!$B$47</f>
        <v>21.333333333333336</v>
      </c>
      <c r="ED18" s="52">
        <f>ED12*Предпосылки!$B$47</f>
        <v>0</v>
      </c>
      <c r="EE18" s="52">
        <f>EE12*Предпосылки!$B$47</f>
        <v>0</v>
      </c>
      <c r="EF18" s="52">
        <f>EF12*Предпосылки!$B$47</f>
        <v>0</v>
      </c>
      <c r="EG18" s="52">
        <f>EG12*Предпосылки!$B$47</f>
        <v>0</v>
      </c>
      <c r="EH18" s="52">
        <f>EH12*Предпосылки!$B$47</f>
        <v>0</v>
      </c>
      <c r="EI18" s="52">
        <f>EI12*Предпосылки!$B$47</f>
        <v>0</v>
      </c>
      <c r="EJ18" s="52">
        <f>EJ12*Предпосылки!$B$47</f>
        <v>21.333333333333336</v>
      </c>
      <c r="EK18" s="52">
        <f>EK12*Предпосылки!$B$47</f>
        <v>21.333333333333336</v>
      </c>
      <c r="EL18" s="52">
        <f>EL12*Предпосылки!$B$47</f>
        <v>21.333333333333336</v>
      </c>
      <c r="EM18" s="52">
        <f>EM12*Предпосылки!$B$47</f>
        <v>21.333333333333336</v>
      </c>
      <c r="EN18" s="52">
        <f>EN12*Предпосылки!$B$47</f>
        <v>21.333333333333336</v>
      </c>
      <c r="EO18" s="52">
        <f>EO12*Предпосылки!$B$47</f>
        <v>21.333333333333336</v>
      </c>
      <c r="EP18" s="52">
        <f>EP12*Предпосылки!$B$47</f>
        <v>0</v>
      </c>
      <c r="EQ18" s="52">
        <f>EQ12*Предпосылки!$B$47</f>
        <v>0</v>
      </c>
      <c r="ER18" s="52">
        <f>ER12*Предпосылки!$B$47</f>
        <v>0</v>
      </c>
      <c r="ES18" s="52">
        <f>ES12*Предпосылки!$B$47</f>
        <v>0</v>
      </c>
      <c r="ET18" s="52">
        <f>ET12*Предпосылки!$B$47</f>
        <v>0</v>
      </c>
      <c r="EU18" s="52">
        <f>EU12*Предпосылки!$B$47</f>
        <v>0</v>
      </c>
      <c r="EV18" s="52">
        <f>EV12*Предпосылки!$B$47</f>
        <v>21.333333333333336</v>
      </c>
      <c r="EW18" s="52">
        <f>EW12*Предпосылки!$B$47</f>
        <v>21.333333333333336</v>
      </c>
      <c r="EX18" s="52">
        <f>EX12*Предпосылки!$B$47</f>
        <v>21.333333333333336</v>
      </c>
      <c r="EY18" s="52">
        <f>EY12*Предпосылки!$B$47</f>
        <v>21.333333333333336</v>
      </c>
      <c r="EZ18" s="52">
        <f>EZ12*Предпосылки!$B$47</f>
        <v>21.333333333333336</v>
      </c>
      <c r="FA18" s="52">
        <f>FA12*Предпосылки!$B$47</f>
        <v>21.333333333333336</v>
      </c>
      <c r="FB18" s="52">
        <f>FB12*Предпосылки!$B$47</f>
        <v>0</v>
      </c>
      <c r="FC18" s="52">
        <f>FC12*Предпосылки!$B$47</f>
        <v>0</v>
      </c>
      <c r="FD18" s="52">
        <f>FD12*Предпосылки!$B$47</f>
        <v>0</v>
      </c>
      <c r="FE18" s="52">
        <f>FE12*Предпосылки!$B$47</f>
        <v>0</v>
      </c>
      <c r="FF18" s="52">
        <f>FF12*Предпосылки!$B$47</f>
        <v>0</v>
      </c>
      <c r="FG18" s="52">
        <f>FG12*Предпосылки!$B$47</f>
        <v>0</v>
      </c>
      <c r="FH18" s="52">
        <f>FH12*Предпосылки!$B$47</f>
        <v>21.333333333333336</v>
      </c>
      <c r="FI18" s="52">
        <f>FI12*Предпосылки!$B$47</f>
        <v>21.333333333333336</v>
      </c>
      <c r="FJ18" s="52">
        <f>FJ12*Предпосылки!$B$47</f>
        <v>21.333333333333336</v>
      </c>
      <c r="FK18" s="52">
        <f>FK12*Предпосылки!$B$47</f>
        <v>21.333333333333336</v>
      </c>
      <c r="FL18" s="52">
        <f>FL12*Предпосылки!$B$47</f>
        <v>21.333333333333336</v>
      </c>
      <c r="FM18" s="52">
        <f>FM12*Предпосылки!$B$47</f>
        <v>21.333333333333336</v>
      </c>
      <c r="FN18" s="52">
        <f>FN12*Предпосылки!$B$47</f>
        <v>0</v>
      </c>
      <c r="FO18" s="52">
        <f>FO12*Предпосылки!$B$47</f>
        <v>0</v>
      </c>
    </row>
    <row r="19" spans="1:171">
      <c r="A19" s="87" t="s">
        <v>206</v>
      </c>
      <c r="B19" s="52">
        <f>B13*Предпосылки!$B$47</f>
        <v>21.333333333333336</v>
      </c>
      <c r="C19" s="52">
        <f>C13*Предпосылки!$B$47</f>
        <v>21.333333333333336</v>
      </c>
      <c r="D19" s="52">
        <f>D13*Предпосылки!$B$47</f>
        <v>21.333333333333336</v>
      </c>
      <c r="E19" s="52">
        <f>E13*Предпосылки!$B$47</f>
        <v>0</v>
      </c>
      <c r="F19" s="52">
        <f>F13*Предпосылки!$B$47</f>
        <v>0</v>
      </c>
      <c r="G19" s="52">
        <f>G13*Предпосылки!$B$47</f>
        <v>0</v>
      </c>
      <c r="H19" s="52">
        <f>H13*Предпосылки!$B$47</f>
        <v>10.666666666666668</v>
      </c>
      <c r="I19" s="52">
        <f>I13*Предпосылки!$B$47</f>
        <v>10.666666666666668</v>
      </c>
      <c r="J19" s="52">
        <f>J13*Предпосылки!$B$47</f>
        <v>10.666666666666668</v>
      </c>
      <c r="K19" s="52">
        <f>K13*Предпосылки!$B$47</f>
        <v>10.666666666666668</v>
      </c>
      <c r="L19" s="52">
        <f>L13*Предпосылки!$B$47</f>
        <v>10.666666666666668</v>
      </c>
      <c r="M19" s="52">
        <f>M13*Предпосылки!$B$47</f>
        <v>10.666666666666668</v>
      </c>
      <c r="N19" s="52">
        <f>N13*Предпосылки!$B$47</f>
        <v>0</v>
      </c>
      <c r="O19" s="52">
        <f>O13*Предпосылки!$B$47</f>
        <v>0</v>
      </c>
      <c r="P19" s="52">
        <f>P13*Предпосылки!$B$47</f>
        <v>0</v>
      </c>
      <c r="Q19" s="52">
        <f>Q13*Предпосылки!$B$47</f>
        <v>0</v>
      </c>
      <c r="R19" s="52">
        <f>R13*Предпосылки!$B$47</f>
        <v>0</v>
      </c>
      <c r="S19" s="52">
        <f>S13*Предпосылки!$B$47</f>
        <v>0</v>
      </c>
      <c r="T19" s="52">
        <f>T13*Предпосылки!$B$47</f>
        <v>10.666666666666668</v>
      </c>
      <c r="U19" s="52">
        <f>U13*Предпосылки!$B$47</f>
        <v>10.666666666666668</v>
      </c>
      <c r="V19" s="52">
        <f>V13*Предпосылки!$B$47</f>
        <v>10.666666666666668</v>
      </c>
      <c r="W19" s="52">
        <f>W13*Предпосылки!$B$47</f>
        <v>10.666666666666668</v>
      </c>
      <c r="X19" s="52">
        <f>X13*Предпосылки!$B$47</f>
        <v>10.666666666666668</v>
      </c>
      <c r="Y19" s="52">
        <f>Y13*Предпосылки!$B$47</f>
        <v>10.666666666666668</v>
      </c>
      <c r="Z19" s="52">
        <f>Z13*Предпосылки!$B$47</f>
        <v>0</v>
      </c>
      <c r="AA19" s="52">
        <f>AA13*Предпосылки!$B$47</f>
        <v>0</v>
      </c>
      <c r="AB19" s="52">
        <f>AB13*Предпосылки!$B$47</f>
        <v>0</v>
      </c>
      <c r="AC19" s="52">
        <f>AC13*Предпосылки!$B$47</f>
        <v>0</v>
      </c>
      <c r="AD19" s="52">
        <f>AD13*Предпосылки!$B$47</f>
        <v>0</v>
      </c>
      <c r="AE19" s="52">
        <f>AE13*Предпосылки!$B$47</f>
        <v>0</v>
      </c>
      <c r="AF19" s="52">
        <f>AF13*Предпосылки!$B$47</f>
        <v>10.666666666666668</v>
      </c>
      <c r="AG19" s="52">
        <f>AG13*Предпосылки!$B$47</f>
        <v>10.666666666666668</v>
      </c>
      <c r="AH19" s="52">
        <f>AH13*Предпосылки!$B$47</f>
        <v>10.666666666666668</v>
      </c>
      <c r="AI19" s="52">
        <f>AI13*Предпосылки!$B$47</f>
        <v>10.666666666666668</v>
      </c>
      <c r="AJ19" s="52">
        <f>AJ13*Предпосылки!$B$47</f>
        <v>10.666666666666668</v>
      </c>
      <c r="AK19" s="52">
        <f>AK13*Предпосылки!$B$47</f>
        <v>10.666666666666668</v>
      </c>
      <c r="AL19" s="52">
        <f>AL13*Предпосылки!$B$47</f>
        <v>0</v>
      </c>
      <c r="AM19" s="52">
        <f>AM13*Предпосылки!$B$47</f>
        <v>0</v>
      </c>
      <c r="AN19" s="52">
        <f>AN13*Предпосылки!$B$47</f>
        <v>0</v>
      </c>
      <c r="AO19" s="52">
        <f>AO13*Предпосылки!$B$47</f>
        <v>0</v>
      </c>
      <c r="AP19" s="52">
        <f>AP13*Предпосылки!$B$47</f>
        <v>0</v>
      </c>
      <c r="AQ19" s="52">
        <f>AQ13*Предпосылки!$B$47</f>
        <v>0</v>
      </c>
      <c r="AR19" s="52">
        <f>AR13*Предпосылки!$B$47</f>
        <v>10.666666666666668</v>
      </c>
      <c r="AS19" s="52">
        <f>AS13*Предпосылки!$B$47</f>
        <v>10.666666666666668</v>
      </c>
      <c r="AT19" s="52">
        <f>AT13*Предпосылки!$B$47</f>
        <v>10.666666666666668</v>
      </c>
      <c r="AU19" s="52">
        <f>AU13*Предпосылки!$B$47</f>
        <v>10.666666666666668</v>
      </c>
      <c r="AV19" s="52">
        <f>AV13*Предпосылки!$B$47</f>
        <v>10.666666666666668</v>
      </c>
      <c r="AW19" s="52">
        <f>AW13*Предпосылки!$B$47</f>
        <v>10.666666666666668</v>
      </c>
      <c r="AX19" s="52">
        <f>AX13*Предпосылки!$B$47</f>
        <v>0</v>
      </c>
      <c r="AY19" s="52">
        <f>AY13*Предпосылки!$B$47</f>
        <v>0</v>
      </c>
      <c r="AZ19" s="52">
        <f>AZ13*Предпосылки!$B$47</f>
        <v>0</v>
      </c>
      <c r="BA19" s="52">
        <f>BA13*Предпосылки!$B$47</f>
        <v>0</v>
      </c>
      <c r="BB19" s="52">
        <f>BB13*Предпосылки!$B$47</f>
        <v>0</v>
      </c>
      <c r="BC19" s="52">
        <f>BC13*Предпосылки!$B$47</f>
        <v>0</v>
      </c>
      <c r="BD19" s="52">
        <f>BD13*Предпосылки!$B$47</f>
        <v>10.666666666666668</v>
      </c>
      <c r="BE19" s="52">
        <f>BE13*Предпосылки!$B$47</f>
        <v>10.666666666666668</v>
      </c>
      <c r="BF19" s="52">
        <f>BF13*Предпосылки!$B$47</f>
        <v>10.666666666666668</v>
      </c>
      <c r="BG19" s="52">
        <f>BG13*Предпосылки!$B$47</f>
        <v>10.666666666666668</v>
      </c>
      <c r="BH19" s="52">
        <f>BH13*Предпосылки!$B$47</f>
        <v>10.666666666666668</v>
      </c>
      <c r="BI19" s="52">
        <f>BI13*Предпосылки!$B$47</f>
        <v>10.666666666666668</v>
      </c>
      <c r="BJ19" s="52">
        <f>BJ13*Предпосылки!$B$47</f>
        <v>0</v>
      </c>
      <c r="BK19" s="52">
        <f>BK13*Предпосылки!$B$47</f>
        <v>0</v>
      </c>
      <c r="BL19" s="52">
        <f>BL13*Предпосылки!$B$47</f>
        <v>0</v>
      </c>
      <c r="BM19" s="52">
        <f>BM13*Предпосылки!$B$47</f>
        <v>0</v>
      </c>
      <c r="BN19" s="52">
        <f>BN13*Предпосылки!$B$47</f>
        <v>0</v>
      </c>
      <c r="BO19" s="52">
        <f>BO13*Предпосылки!$B$47</f>
        <v>0</v>
      </c>
      <c r="BP19" s="52">
        <f>BP13*Предпосылки!$B$47</f>
        <v>10.666666666666668</v>
      </c>
      <c r="BQ19" s="52">
        <f>BQ13*Предпосылки!$B$47</f>
        <v>10.666666666666668</v>
      </c>
      <c r="BR19" s="52">
        <f>BR13*Предпосылки!$B$47</f>
        <v>10.666666666666668</v>
      </c>
      <c r="BS19" s="52">
        <f>BS13*Предпосылки!$B$47</f>
        <v>10.666666666666668</v>
      </c>
      <c r="BT19" s="52">
        <f>BT13*Предпосылки!$B$47</f>
        <v>10.666666666666668</v>
      </c>
      <c r="BU19" s="52">
        <f>BU13*Предпосылки!$B$47</f>
        <v>10.666666666666668</v>
      </c>
      <c r="BV19" s="52">
        <f>BV13*Предпосылки!$B$47</f>
        <v>0</v>
      </c>
      <c r="BW19" s="52">
        <f>BW13*Предпосылки!$B$47</f>
        <v>0</v>
      </c>
      <c r="BX19" s="52">
        <f>BX13*Предпосылки!$B$47</f>
        <v>0</v>
      </c>
      <c r="BY19" s="52">
        <f>BY13*Предпосылки!$B$47</f>
        <v>0</v>
      </c>
      <c r="BZ19" s="52">
        <f>BZ13*Предпосылки!$B$47</f>
        <v>0</v>
      </c>
      <c r="CA19" s="52">
        <f>CA13*Предпосылки!$B$47</f>
        <v>0</v>
      </c>
      <c r="CB19" s="52">
        <f>CB13*Предпосылки!$B$47</f>
        <v>10.666666666666668</v>
      </c>
      <c r="CC19" s="52">
        <f>CC13*Предпосылки!$B$47</f>
        <v>10.666666666666668</v>
      </c>
      <c r="CD19" s="52">
        <f>CD13*Предпосылки!$B$47</f>
        <v>10.666666666666668</v>
      </c>
      <c r="CE19" s="52">
        <f>CE13*Предпосылки!$B$47</f>
        <v>10.666666666666668</v>
      </c>
      <c r="CF19" s="52">
        <f>CF13*Предпосылки!$B$47</f>
        <v>10.666666666666668</v>
      </c>
      <c r="CG19" s="52">
        <f>CG13*Предпосылки!$B$47</f>
        <v>10.666666666666668</v>
      </c>
      <c r="CH19" s="52">
        <f>CH13*Предпосылки!$B$47</f>
        <v>0</v>
      </c>
      <c r="CI19" s="52">
        <f>CI13*Предпосылки!$B$47</f>
        <v>0</v>
      </c>
      <c r="CJ19" s="52">
        <f>CJ13*Предпосылки!$B$47</f>
        <v>0</v>
      </c>
      <c r="CK19" s="52">
        <f>CK13*Предпосылки!$B$47</f>
        <v>0</v>
      </c>
      <c r="CL19" s="52">
        <f>CL13*Предпосылки!$B$47</f>
        <v>0</v>
      </c>
      <c r="CM19" s="52">
        <f>CM13*Предпосылки!$B$47</f>
        <v>0</v>
      </c>
      <c r="CN19" s="52">
        <f>CN13*Предпосылки!$B$47</f>
        <v>10.666666666666668</v>
      </c>
      <c r="CO19" s="52">
        <f>CO13*Предпосылки!$B$47</f>
        <v>10.666666666666668</v>
      </c>
      <c r="CP19" s="52">
        <f>CP13*Предпосылки!$B$47</f>
        <v>10.666666666666668</v>
      </c>
      <c r="CQ19" s="52">
        <f>CQ13*Предпосылки!$B$47</f>
        <v>10.666666666666668</v>
      </c>
      <c r="CR19" s="52">
        <f>CR13*Предпосылки!$B$47</f>
        <v>10.666666666666668</v>
      </c>
      <c r="CS19" s="52">
        <f>CS13*Предпосылки!$B$47</f>
        <v>10.666666666666668</v>
      </c>
      <c r="CT19" s="52">
        <f>CT13*Предпосылки!$B$47</f>
        <v>0</v>
      </c>
      <c r="CU19" s="52">
        <f>CU13*Предпосылки!$B$47</f>
        <v>0</v>
      </c>
      <c r="CV19" s="52">
        <f>CV13*Предпосылки!$B$47</f>
        <v>0</v>
      </c>
      <c r="CW19" s="52">
        <f>CW13*Предпосылки!$B$47</f>
        <v>0</v>
      </c>
      <c r="CX19" s="52">
        <f>CX13*Предпосылки!$B$47</f>
        <v>0</v>
      </c>
      <c r="CY19" s="52">
        <f>CY13*Предпосылки!$B$47</f>
        <v>0</v>
      </c>
      <c r="CZ19" s="52">
        <f>CZ13*Предпосылки!$B$47</f>
        <v>10.666666666666668</v>
      </c>
      <c r="DA19" s="52">
        <f>DA13*Предпосылки!$B$47</f>
        <v>10.666666666666668</v>
      </c>
      <c r="DB19" s="52">
        <f>DB13*Предпосылки!$B$47</f>
        <v>10.666666666666668</v>
      </c>
      <c r="DC19" s="52">
        <f>DC13*Предпосылки!$B$47</f>
        <v>10.666666666666668</v>
      </c>
      <c r="DD19" s="52">
        <f>DD13*Предпосылки!$B$47</f>
        <v>10.666666666666668</v>
      </c>
      <c r="DE19" s="52">
        <f>DE13*Предпосылки!$B$47</f>
        <v>10.666666666666668</v>
      </c>
      <c r="DF19" s="52">
        <f>DF13*Предпосылки!$B$47</f>
        <v>0</v>
      </c>
      <c r="DG19" s="52">
        <f>DG13*Предпосылки!$B$47</f>
        <v>0</v>
      </c>
      <c r="DH19" s="52">
        <f>DH13*Предпосылки!$B$47</f>
        <v>0</v>
      </c>
      <c r="DI19" s="52">
        <f>DI13*Предпосылки!$B$47</f>
        <v>0</v>
      </c>
      <c r="DJ19" s="52">
        <f>DJ13*Предпосылки!$B$47</f>
        <v>0</v>
      </c>
      <c r="DK19" s="52">
        <f>DK13*Предпосылки!$B$47</f>
        <v>0</v>
      </c>
      <c r="DL19" s="52">
        <f>DL13*Предпосылки!$B$47</f>
        <v>10.666666666666668</v>
      </c>
      <c r="DM19" s="52">
        <f>DM13*Предпосылки!$B$47</f>
        <v>10.666666666666668</v>
      </c>
      <c r="DN19" s="52">
        <f>DN13*Предпосылки!$B$47</f>
        <v>10.666666666666668</v>
      </c>
      <c r="DO19" s="52">
        <f>DO13*Предпосылки!$B$47</f>
        <v>10.666666666666668</v>
      </c>
      <c r="DP19" s="52">
        <f>DP13*Предпосылки!$B$47</f>
        <v>10.666666666666668</v>
      </c>
      <c r="DQ19" s="52">
        <f>DQ13*Предпосылки!$B$47</f>
        <v>10.666666666666668</v>
      </c>
      <c r="DR19" s="52">
        <f>DR13*Предпосылки!$B$47</f>
        <v>0</v>
      </c>
      <c r="DS19" s="52">
        <f>DS13*Предпосылки!$B$47</f>
        <v>0</v>
      </c>
      <c r="DT19" s="52">
        <f>DT13*Предпосылки!$B$47</f>
        <v>0</v>
      </c>
      <c r="DU19" s="52">
        <f>DU13*Предпосылки!$B$47</f>
        <v>0</v>
      </c>
      <c r="DV19" s="52">
        <f>DV13*Предпосылки!$B$47</f>
        <v>0</v>
      </c>
      <c r="DW19" s="52">
        <f>DW13*Предпосылки!$B$47</f>
        <v>0</v>
      </c>
      <c r="DX19" s="52">
        <f>DX13*Предпосылки!$B$47</f>
        <v>10.666666666666668</v>
      </c>
      <c r="DY19" s="52">
        <f>DY13*Предпосылки!$B$47</f>
        <v>10.666666666666668</v>
      </c>
      <c r="DZ19" s="52">
        <f>DZ13*Предпосылки!$B$47</f>
        <v>10.666666666666668</v>
      </c>
      <c r="EA19" s="52">
        <f>EA13*Предпосылки!$B$47</f>
        <v>10.666666666666668</v>
      </c>
      <c r="EB19" s="52">
        <f>EB13*Предпосылки!$B$47</f>
        <v>10.666666666666668</v>
      </c>
      <c r="EC19" s="52">
        <f>EC13*Предпосылки!$B$47</f>
        <v>10.666666666666668</v>
      </c>
      <c r="ED19" s="52">
        <f>ED13*Предпосылки!$B$47</f>
        <v>0</v>
      </c>
      <c r="EE19" s="52">
        <f>EE13*Предпосылки!$B$47</f>
        <v>0</v>
      </c>
      <c r="EF19" s="52">
        <f>EF13*Предпосылки!$B$47</f>
        <v>0</v>
      </c>
      <c r="EG19" s="52">
        <f>EG13*Предпосылки!$B$47</f>
        <v>0</v>
      </c>
      <c r="EH19" s="52">
        <f>EH13*Предпосылки!$B$47</f>
        <v>0</v>
      </c>
      <c r="EI19" s="52">
        <f>EI13*Предпосылки!$B$47</f>
        <v>0</v>
      </c>
      <c r="EJ19" s="52">
        <f>EJ13*Предпосылки!$B$47</f>
        <v>10.666666666666668</v>
      </c>
      <c r="EK19" s="52">
        <f>EK13*Предпосылки!$B$47</f>
        <v>10.666666666666668</v>
      </c>
      <c r="EL19" s="52">
        <f>EL13*Предпосылки!$B$47</f>
        <v>10.666666666666668</v>
      </c>
      <c r="EM19" s="52">
        <f>EM13*Предпосылки!$B$47</f>
        <v>10.666666666666668</v>
      </c>
      <c r="EN19" s="52">
        <f>EN13*Предпосылки!$B$47</f>
        <v>10.666666666666668</v>
      </c>
      <c r="EO19" s="52">
        <f>EO13*Предпосылки!$B$47</f>
        <v>10.666666666666668</v>
      </c>
      <c r="EP19" s="52">
        <f>EP13*Предпосылки!$B$47</f>
        <v>0</v>
      </c>
      <c r="EQ19" s="52">
        <f>EQ13*Предпосылки!$B$47</f>
        <v>0</v>
      </c>
      <c r="ER19" s="52">
        <f>ER13*Предпосылки!$B$47</f>
        <v>0</v>
      </c>
      <c r="ES19" s="52">
        <f>ES13*Предпосылки!$B$47</f>
        <v>0</v>
      </c>
      <c r="ET19" s="52">
        <f>ET13*Предпосылки!$B$47</f>
        <v>0</v>
      </c>
      <c r="EU19" s="52">
        <f>EU13*Предпосылки!$B$47</f>
        <v>0</v>
      </c>
      <c r="EV19" s="52">
        <f>EV13*Предпосылки!$B$47</f>
        <v>10.666666666666668</v>
      </c>
      <c r="EW19" s="52">
        <f>EW13*Предпосылки!$B$47</f>
        <v>10.666666666666668</v>
      </c>
      <c r="EX19" s="52">
        <f>EX13*Предпосылки!$B$47</f>
        <v>10.666666666666668</v>
      </c>
      <c r="EY19" s="52">
        <f>EY13*Предпосылки!$B$47</f>
        <v>10.666666666666668</v>
      </c>
      <c r="EZ19" s="52">
        <f>EZ13*Предпосылки!$B$47</f>
        <v>10.666666666666668</v>
      </c>
      <c r="FA19" s="52">
        <f>FA13*Предпосылки!$B$47</f>
        <v>10.666666666666668</v>
      </c>
      <c r="FB19" s="52">
        <f>FB13*Предпосылки!$B$47</f>
        <v>0</v>
      </c>
      <c r="FC19" s="52">
        <f>FC13*Предпосылки!$B$47</f>
        <v>0</v>
      </c>
      <c r="FD19" s="52">
        <f>FD13*Предпосылки!$B$47</f>
        <v>0</v>
      </c>
      <c r="FE19" s="52">
        <f>FE13*Предпосылки!$B$47</f>
        <v>0</v>
      </c>
      <c r="FF19" s="52">
        <f>FF13*Предпосылки!$B$47</f>
        <v>0</v>
      </c>
      <c r="FG19" s="52">
        <f>FG13*Предпосылки!$B$47</f>
        <v>0</v>
      </c>
      <c r="FH19" s="52">
        <f>FH13*Предпосылки!$B$47</f>
        <v>10.666666666666668</v>
      </c>
      <c r="FI19" s="52">
        <f>FI13*Предпосылки!$B$47</f>
        <v>10.666666666666668</v>
      </c>
      <c r="FJ19" s="52">
        <f>FJ13*Предпосылки!$B$47</f>
        <v>10.666666666666668</v>
      </c>
      <c r="FK19" s="52">
        <f>FK13*Предпосылки!$B$47</f>
        <v>10.666666666666668</v>
      </c>
      <c r="FL19" s="52">
        <f>FL13*Предпосылки!$B$47</f>
        <v>10.666666666666668</v>
      </c>
      <c r="FM19" s="52">
        <f>FM13*Предпосылки!$B$47</f>
        <v>10.666666666666668</v>
      </c>
      <c r="FN19" s="52">
        <f>FN13*Предпосылки!$B$47</f>
        <v>0</v>
      </c>
      <c r="FO19" s="52">
        <f>FO13*Предпосылки!$B$47</f>
        <v>0</v>
      </c>
    </row>
    <row r="20" spans="1:171">
      <c r="A20" s="87" t="s">
        <v>207</v>
      </c>
      <c r="B20" s="52">
        <f>SUM(B16:B19)</f>
        <v>266.66666666666669</v>
      </c>
      <c r="C20" s="52">
        <f t="shared" ref="C20:BN20" si="198">SUM(C16:C19)</f>
        <v>266.66666666666669</v>
      </c>
      <c r="D20" s="52">
        <f t="shared" si="198"/>
        <v>266.66666666666669</v>
      </c>
      <c r="E20" s="52">
        <f t="shared" si="198"/>
        <v>0</v>
      </c>
      <c r="F20" s="52">
        <f t="shared" si="198"/>
        <v>0</v>
      </c>
      <c r="G20" s="52">
        <f t="shared" si="198"/>
        <v>0</v>
      </c>
      <c r="H20" s="52">
        <f t="shared" si="198"/>
        <v>133.33333333333334</v>
      </c>
      <c r="I20" s="52">
        <f t="shared" si="198"/>
        <v>133.33333333333334</v>
      </c>
      <c r="J20" s="52">
        <f t="shared" si="198"/>
        <v>133.33333333333334</v>
      </c>
      <c r="K20" s="52">
        <f t="shared" si="198"/>
        <v>133.33333333333334</v>
      </c>
      <c r="L20" s="52">
        <f t="shared" si="198"/>
        <v>133.33333333333334</v>
      </c>
      <c r="M20" s="52">
        <f t="shared" si="198"/>
        <v>133.33333333333334</v>
      </c>
      <c r="N20" s="52">
        <f t="shared" si="198"/>
        <v>0</v>
      </c>
      <c r="O20" s="52">
        <f t="shared" si="198"/>
        <v>0</v>
      </c>
      <c r="P20" s="52">
        <f t="shared" si="198"/>
        <v>0</v>
      </c>
      <c r="Q20" s="52">
        <f t="shared" si="198"/>
        <v>0</v>
      </c>
      <c r="R20" s="52">
        <f t="shared" si="198"/>
        <v>0</v>
      </c>
      <c r="S20" s="52">
        <f t="shared" si="198"/>
        <v>0</v>
      </c>
      <c r="T20" s="52">
        <f t="shared" si="198"/>
        <v>133.33333333333334</v>
      </c>
      <c r="U20" s="52">
        <f t="shared" si="198"/>
        <v>133.33333333333334</v>
      </c>
      <c r="V20" s="52">
        <f t="shared" si="198"/>
        <v>133.33333333333334</v>
      </c>
      <c r="W20" s="52">
        <f t="shared" si="198"/>
        <v>133.33333333333334</v>
      </c>
      <c r="X20" s="52">
        <f t="shared" si="198"/>
        <v>133.33333333333334</v>
      </c>
      <c r="Y20" s="52">
        <f t="shared" si="198"/>
        <v>133.33333333333334</v>
      </c>
      <c r="Z20" s="52">
        <f t="shared" si="198"/>
        <v>0</v>
      </c>
      <c r="AA20" s="52">
        <f t="shared" si="198"/>
        <v>0</v>
      </c>
      <c r="AB20" s="52">
        <f t="shared" si="198"/>
        <v>0</v>
      </c>
      <c r="AC20" s="52">
        <f t="shared" si="198"/>
        <v>0</v>
      </c>
      <c r="AD20" s="52">
        <f t="shared" si="198"/>
        <v>0</v>
      </c>
      <c r="AE20" s="52">
        <f t="shared" si="198"/>
        <v>0</v>
      </c>
      <c r="AF20" s="52">
        <f t="shared" si="198"/>
        <v>133.33333333333334</v>
      </c>
      <c r="AG20" s="52">
        <f t="shared" si="198"/>
        <v>133.33333333333334</v>
      </c>
      <c r="AH20" s="52">
        <f t="shared" si="198"/>
        <v>133.33333333333334</v>
      </c>
      <c r="AI20" s="52">
        <f t="shared" si="198"/>
        <v>133.33333333333334</v>
      </c>
      <c r="AJ20" s="52">
        <f t="shared" si="198"/>
        <v>133.33333333333334</v>
      </c>
      <c r="AK20" s="52">
        <f t="shared" si="198"/>
        <v>133.33333333333334</v>
      </c>
      <c r="AL20" s="52">
        <f t="shared" si="198"/>
        <v>0</v>
      </c>
      <c r="AM20" s="52">
        <f t="shared" si="198"/>
        <v>0</v>
      </c>
      <c r="AN20" s="52">
        <f t="shared" si="198"/>
        <v>0</v>
      </c>
      <c r="AO20" s="52">
        <f t="shared" si="198"/>
        <v>0</v>
      </c>
      <c r="AP20" s="52">
        <f t="shared" si="198"/>
        <v>0</v>
      </c>
      <c r="AQ20" s="52">
        <f t="shared" si="198"/>
        <v>0</v>
      </c>
      <c r="AR20" s="52">
        <f t="shared" si="198"/>
        <v>133.33333333333334</v>
      </c>
      <c r="AS20" s="52">
        <f t="shared" si="198"/>
        <v>133.33333333333334</v>
      </c>
      <c r="AT20" s="52">
        <f t="shared" si="198"/>
        <v>133.33333333333334</v>
      </c>
      <c r="AU20" s="52">
        <f t="shared" si="198"/>
        <v>133.33333333333334</v>
      </c>
      <c r="AV20" s="52">
        <f t="shared" si="198"/>
        <v>133.33333333333334</v>
      </c>
      <c r="AW20" s="52">
        <f t="shared" si="198"/>
        <v>133.33333333333334</v>
      </c>
      <c r="AX20" s="52">
        <f t="shared" si="198"/>
        <v>0</v>
      </c>
      <c r="AY20" s="52">
        <f t="shared" si="198"/>
        <v>0</v>
      </c>
      <c r="AZ20" s="52">
        <f t="shared" si="198"/>
        <v>0</v>
      </c>
      <c r="BA20" s="52">
        <f t="shared" si="198"/>
        <v>0</v>
      </c>
      <c r="BB20" s="52">
        <f t="shared" si="198"/>
        <v>0</v>
      </c>
      <c r="BC20" s="52">
        <f t="shared" si="198"/>
        <v>0</v>
      </c>
      <c r="BD20" s="52">
        <f t="shared" si="198"/>
        <v>133.33333333333334</v>
      </c>
      <c r="BE20" s="52">
        <f t="shared" si="198"/>
        <v>133.33333333333334</v>
      </c>
      <c r="BF20" s="52">
        <f t="shared" si="198"/>
        <v>133.33333333333334</v>
      </c>
      <c r="BG20" s="52">
        <f t="shared" si="198"/>
        <v>133.33333333333334</v>
      </c>
      <c r="BH20" s="52">
        <f t="shared" si="198"/>
        <v>133.33333333333334</v>
      </c>
      <c r="BI20" s="52">
        <f t="shared" si="198"/>
        <v>133.33333333333334</v>
      </c>
      <c r="BJ20" s="52">
        <f t="shared" si="198"/>
        <v>0</v>
      </c>
      <c r="BK20" s="52">
        <f t="shared" si="198"/>
        <v>0</v>
      </c>
      <c r="BL20" s="52">
        <f t="shared" si="198"/>
        <v>0</v>
      </c>
      <c r="BM20" s="52">
        <f t="shared" si="198"/>
        <v>0</v>
      </c>
      <c r="BN20" s="52">
        <f t="shared" si="198"/>
        <v>0</v>
      </c>
      <c r="BO20" s="52">
        <f t="shared" ref="BO20:DJ20" si="199">SUM(BO16:BO19)</f>
        <v>0</v>
      </c>
      <c r="BP20" s="52">
        <f t="shared" si="199"/>
        <v>133.33333333333334</v>
      </c>
      <c r="BQ20" s="52">
        <f t="shared" si="199"/>
        <v>133.33333333333334</v>
      </c>
      <c r="BR20" s="52">
        <f t="shared" si="199"/>
        <v>133.33333333333334</v>
      </c>
      <c r="BS20" s="52">
        <f t="shared" si="199"/>
        <v>133.33333333333334</v>
      </c>
      <c r="BT20" s="52">
        <f t="shared" si="199"/>
        <v>133.33333333333334</v>
      </c>
      <c r="BU20" s="52">
        <f t="shared" si="199"/>
        <v>133.33333333333334</v>
      </c>
      <c r="BV20" s="52">
        <f t="shared" si="199"/>
        <v>0</v>
      </c>
      <c r="BW20" s="52">
        <f t="shared" si="199"/>
        <v>0</v>
      </c>
      <c r="BX20" s="52">
        <f t="shared" si="199"/>
        <v>0</v>
      </c>
      <c r="BY20" s="52">
        <f t="shared" si="199"/>
        <v>0</v>
      </c>
      <c r="BZ20" s="52">
        <f t="shared" si="199"/>
        <v>0</v>
      </c>
      <c r="CA20" s="52">
        <f t="shared" si="199"/>
        <v>0</v>
      </c>
      <c r="CB20" s="52">
        <f t="shared" si="199"/>
        <v>133.33333333333334</v>
      </c>
      <c r="CC20" s="52">
        <f t="shared" si="199"/>
        <v>133.33333333333334</v>
      </c>
      <c r="CD20" s="52">
        <f t="shared" si="199"/>
        <v>133.33333333333334</v>
      </c>
      <c r="CE20" s="52">
        <f t="shared" si="199"/>
        <v>133.33333333333334</v>
      </c>
      <c r="CF20" s="52">
        <f t="shared" si="199"/>
        <v>133.33333333333334</v>
      </c>
      <c r="CG20" s="52">
        <f t="shared" si="199"/>
        <v>133.33333333333334</v>
      </c>
      <c r="CH20" s="52">
        <f t="shared" si="199"/>
        <v>0</v>
      </c>
      <c r="CI20" s="52">
        <f t="shared" si="199"/>
        <v>0</v>
      </c>
      <c r="CJ20" s="52">
        <f t="shared" si="199"/>
        <v>0</v>
      </c>
      <c r="CK20" s="52">
        <f t="shared" si="199"/>
        <v>0</v>
      </c>
      <c r="CL20" s="52">
        <f t="shared" si="199"/>
        <v>0</v>
      </c>
      <c r="CM20" s="52">
        <f t="shared" si="199"/>
        <v>0</v>
      </c>
      <c r="CN20" s="52">
        <f t="shared" si="199"/>
        <v>133.33333333333334</v>
      </c>
      <c r="CO20" s="52">
        <f t="shared" si="199"/>
        <v>133.33333333333334</v>
      </c>
      <c r="CP20" s="52">
        <f t="shared" si="199"/>
        <v>133.33333333333334</v>
      </c>
      <c r="CQ20" s="52">
        <f t="shared" si="199"/>
        <v>133.33333333333334</v>
      </c>
      <c r="CR20" s="52">
        <f t="shared" si="199"/>
        <v>133.33333333333334</v>
      </c>
      <c r="CS20" s="52">
        <f t="shared" si="199"/>
        <v>133.33333333333334</v>
      </c>
      <c r="CT20" s="52">
        <f t="shared" si="199"/>
        <v>0</v>
      </c>
      <c r="CU20" s="52">
        <f t="shared" si="199"/>
        <v>0</v>
      </c>
      <c r="CV20" s="52">
        <f t="shared" si="199"/>
        <v>0</v>
      </c>
      <c r="CW20" s="52">
        <f t="shared" si="199"/>
        <v>0</v>
      </c>
      <c r="CX20" s="52">
        <f t="shared" si="199"/>
        <v>0</v>
      </c>
      <c r="CY20" s="52">
        <f t="shared" si="199"/>
        <v>0</v>
      </c>
      <c r="CZ20" s="52">
        <f t="shared" si="199"/>
        <v>133.33333333333334</v>
      </c>
      <c r="DA20" s="52">
        <f t="shared" si="199"/>
        <v>133.33333333333334</v>
      </c>
      <c r="DB20" s="52">
        <f t="shared" si="199"/>
        <v>133.33333333333334</v>
      </c>
      <c r="DC20" s="52">
        <f t="shared" si="199"/>
        <v>133.33333333333334</v>
      </c>
      <c r="DD20" s="52">
        <f t="shared" si="199"/>
        <v>133.33333333333334</v>
      </c>
      <c r="DE20" s="52">
        <f t="shared" si="199"/>
        <v>133.33333333333334</v>
      </c>
      <c r="DF20" s="52">
        <f t="shared" si="199"/>
        <v>0</v>
      </c>
      <c r="DG20" s="52">
        <f t="shared" si="199"/>
        <v>0</v>
      </c>
      <c r="DH20" s="52">
        <f t="shared" si="199"/>
        <v>0</v>
      </c>
      <c r="DI20" s="52">
        <f t="shared" si="199"/>
        <v>0</v>
      </c>
      <c r="DJ20" s="52">
        <f t="shared" si="199"/>
        <v>0</v>
      </c>
      <c r="DK20" s="52">
        <f t="shared" ref="DK20:EV20" si="200">SUM(DK16:DK19)</f>
        <v>0</v>
      </c>
      <c r="DL20" s="52">
        <f t="shared" si="200"/>
        <v>133.33333333333334</v>
      </c>
      <c r="DM20" s="52">
        <f t="shared" si="200"/>
        <v>133.33333333333334</v>
      </c>
      <c r="DN20" s="52">
        <f t="shared" si="200"/>
        <v>133.33333333333334</v>
      </c>
      <c r="DO20" s="52">
        <f t="shared" si="200"/>
        <v>133.33333333333334</v>
      </c>
      <c r="DP20" s="52">
        <f t="shared" si="200"/>
        <v>133.33333333333334</v>
      </c>
      <c r="DQ20" s="52">
        <f t="shared" si="200"/>
        <v>133.33333333333334</v>
      </c>
      <c r="DR20" s="52">
        <f t="shared" si="200"/>
        <v>0</v>
      </c>
      <c r="DS20" s="52">
        <f t="shared" si="200"/>
        <v>0</v>
      </c>
      <c r="DT20" s="52">
        <f t="shared" si="200"/>
        <v>0</v>
      </c>
      <c r="DU20" s="52">
        <f t="shared" si="200"/>
        <v>0</v>
      </c>
      <c r="DV20" s="52">
        <f t="shared" si="200"/>
        <v>0</v>
      </c>
      <c r="DW20" s="52">
        <f t="shared" si="200"/>
        <v>0</v>
      </c>
      <c r="DX20" s="52">
        <f t="shared" si="200"/>
        <v>133.33333333333334</v>
      </c>
      <c r="DY20" s="52">
        <f t="shared" si="200"/>
        <v>133.33333333333334</v>
      </c>
      <c r="DZ20" s="52">
        <f t="shared" si="200"/>
        <v>133.33333333333334</v>
      </c>
      <c r="EA20" s="52">
        <f t="shared" si="200"/>
        <v>133.33333333333334</v>
      </c>
      <c r="EB20" s="52">
        <f t="shared" si="200"/>
        <v>133.33333333333334</v>
      </c>
      <c r="EC20" s="52">
        <f t="shared" si="200"/>
        <v>133.33333333333334</v>
      </c>
      <c r="ED20" s="52">
        <f t="shared" si="200"/>
        <v>0</v>
      </c>
      <c r="EE20" s="52">
        <f t="shared" si="200"/>
        <v>0</v>
      </c>
      <c r="EF20" s="52">
        <f t="shared" si="200"/>
        <v>0</v>
      </c>
      <c r="EG20" s="52">
        <f t="shared" si="200"/>
        <v>0</v>
      </c>
      <c r="EH20" s="52">
        <f t="shared" si="200"/>
        <v>0</v>
      </c>
      <c r="EI20" s="52">
        <f t="shared" si="200"/>
        <v>0</v>
      </c>
      <c r="EJ20" s="52">
        <f t="shared" si="200"/>
        <v>133.33333333333334</v>
      </c>
      <c r="EK20" s="52">
        <f t="shared" si="200"/>
        <v>133.33333333333334</v>
      </c>
      <c r="EL20" s="52">
        <f t="shared" si="200"/>
        <v>133.33333333333334</v>
      </c>
      <c r="EM20" s="52">
        <f t="shared" si="200"/>
        <v>133.33333333333334</v>
      </c>
      <c r="EN20" s="52">
        <f t="shared" si="200"/>
        <v>133.33333333333334</v>
      </c>
      <c r="EO20" s="52">
        <f t="shared" si="200"/>
        <v>133.33333333333334</v>
      </c>
      <c r="EP20" s="52">
        <f t="shared" si="200"/>
        <v>0</v>
      </c>
      <c r="EQ20" s="52">
        <f t="shared" si="200"/>
        <v>0</v>
      </c>
      <c r="ER20" s="52">
        <f t="shared" si="200"/>
        <v>0</v>
      </c>
      <c r="ES20" s="52">
        <f t="shared" si="200"/>
        <v>0</v>
      </c>
      <c r="ET20" s="52">
        <f t="shared" si="200"/>
        <v>0</v>
      </c>
      <c r="EU20" s="52">
        <f t="shared" si="200"/>
        <v>0</v>
      </c>
      <c r="EV20" s="52">
        <f t="shared" si="200"/>
        <v>133.33333333333334</v>
      </c>
      <c r="EW20" s="52">
        <f t="shared" ref="EW20:FO20" si="201">SUM(EW16:EW19)</f>
        <v>133.33333333333334</v>
      </c>
      <c r="EX20" s="52">
        <f t="shared" si="201"/>
        <v>133.33333333333334</v>
      </c>
      <c r="EY20" s="52">
        <f t="shared" si="201"/>
        <v>133.33333333333334</v>
      </c>
      <c r="EZ20" s="52">
        <f t="shared" si="201"/>
        <v>133.33333333333334</v>
      </c>
      <c r="FA20" s="52">
        <f t="shared" si="201"/>
        <v>133.33333333333334</v>
      </c>
      <c r="FB20" s="52">
        <f t="shared" si="201"/>
        <v>0</v>
      </c>
      <c r="FC20" s="52">
        <f t="shared" si="201"/>
        <v>0</v>
      </c>
      <c r="FD20" s="52">
        <f t="shared" si="201"/>
        <v>0</v>
      </c>
      <c r="FE20" s="52">
        <f t="shared" si="201"/>
        <v>0</v>
      </c>
      <c r="FF20" s="52">
        <f t="shared" si="201"/>
        <v>0</v>
      </c>
      <c r="FG20" s="52">
        <f t="shared" si="201"/>
        <v>0</v>
      </c>
      <c r="FH20" s="52">
        <f t="shared" si="201"/>
        <v>133.33333333333334</v>
      </c>
      <c r="FI20" s="52">
        <f t="shared" si="201"/>
        <v>133.33333333333334</v>
      </c>
      <c r="FJ20" s="52">
        <f t="shared" si="201"/>
        <v>133.33333333333334</v>
      </c>
      <c r="FK20" s="52">
        <f t="shared" si="201"/>
        <v>133.33333333333334</v>
      </c>
      <c r="FL20" s="52">
        <f t="shared" si="201"/>
        <v>133.33333333333334</v>
      </c>
      <c r="FM20" s="52">
        <f t="shared" si="201"/>
        <v>133.33333333333334</v>
      </c>
      <c r="FN20" s="52">
        <f t="shared" si="201"/>
        <v>0</v>
      </c>
      <c r="FO20" s="52">
        <f t="shared" si="201"/>
        <v>0</v>
      </c>
    </row>
    <row r="22" spans="1:171">
      <c r="A22" s="87" t="s">
        <v>149</v>
      </c>
      <c r="B22" s="52">
        <v>0</v>
      </c>
      <c r="C22" s="52">
        <v>0</v>
      </c>
      <c r="D22" s="52">
        <v>0</v>
      </c>
      <c r="E22" s="52">
        <f>E3/3</f>
        <v>7840</v>
      </c>
      <c r="F22" s="52">
        <f>E22</f>
        <v>7840</v>
      </c>
      <c r="G22" s="52">
        <f>F22</f>
        <v>7840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52">
        <f>H10-H16</f>
        <v>3920</v>
      </c>
      <c r="O22" s="52">
        <f t="shared" ref="O22:S25" si="202">I10-I16</f>
        <v>3920</v>
      </c>
      <c r="P22" s="52">
        <f t="shared" si="202"/>
        <v>3920</v>
      </c>
      <c r="Q22" s="52">
        <f t="shared" si="202"/>
        <v>3920</v>
      </c>
      <c r="R22" s="52">
        <f t="shared" si="202"/>
        <v>3920</v>
      </c>
      <c r="S22" s="52">
        <f t="shared" si="202"/>
        <v>3920</v>
      </c>
      <c r="T22" s="52">
        <f>N10-N16</f>
        <v>0</v>
      </c>
      <c r="U22" s="52">
        <f>O10-O16</f>
        <v>0</v>
      </c>
      <c r="V22" s="52">
        <f>P10-P16</f>
        <v>0</v>
      </c>
      <c r="W22" s="52">
        <f>Q10-Q16</f>
        <v>0</v>
      </c>
      <c r="X22" s="52">
        <f>R10-R16</f>
        <v>0</v>
      </c>
      <c r="Y22" s="52">
        <f>S10-S16</f>
        <v>0</v>
      </c>
      <c r="Z22" s="52">
        <f>T10-T16</f>
        <v>3920</v>
      </c>
      <c r="AA22" s="52">
        <f>U10-U16</f>
        <v>3920</v>
      </c>
      <c r="AB22" s="52">
        <f>V10-V16</f>
        <v>3920</v>
      </c>
      <c r="AC22" s="52">
        <f>W10-W16</f>
        <v>3920</v>
      </c>
      <c r="AD22" s="52">
        <f>X10-X16</f>
        <v>3920</v>
      </c>
      <c r="AE22" s="52">
        <f>Y10-Y16</f>
        <v>3920</v>
      </c>
      <c r="AF22" s="52">
        <f>Z10-Z16</f>
        <v>0</v>
      </c>
      <c r="AG22" s="52">
        <f>AA10-AA16</f>
        <v>0</v>
      </c>
      <c r="AH22" s="52">
        <f>AB10-AB16</f>
        <v>0</v>
      </c>
      <c r="AI22" s="52">
        <f>AC10-AC16</f>
        <v>0</v>
      </c>
      <c r="AJ22" s="52">
        <f>AD10-AD16</f>
        <v>0</v>
      </c>
      <c r="AK22" s="52">
        <f>AE10-AE16</f>
        <v>0</v>
      </c>
      <c r="AL22" s="52">
        <f>AF10-AF16</f>
        <v>3920</v>
      </c>
      <c r="AM22" s="52">
        <f>AG10-AG16</f>
        <v>3920</v>
      </c>
      <c r="AN22" s="52">
        <f>AH10-AH16</f>
        <v>3920</v>
      </c>
      <c r="AO22" s="52">
        <f>AI10-AI16</f>
        <v>3920</v>
      </c>
      <c r="AP22" s="52">
        <f>AJ10-AJ16</f>
        <v>3920</v>
      </c>
      <c r="AQ22" s="52">
        <f>AK10-AK16</f>
        <v>3920</v>
      </c>
      <c r="AR22" s="52">
        <f>AL10-AL16</f>
        <v>0</v>
      </c>
      <c r="AS22" s="52">
        <f>AM10-AM16</f>
        <v>0</v>
      </c>
      <c r="AT22" s="52">
        <f>AN10-AN16</f>
        <v>0</v>
      </c>
      <c r="AU22" s="52">
        <f>AO10-AO16</f>
        <v>0</v>
      </c>
      <c r="AV22" s="52">
        <f>AP10-AP16</f>
        <v>0</v>
      </c>
      <c r="AW22" s="52">
        <f>AQ10-AQ16</f>
        <v>0</v>
      </c>
      <c r="AX22" s="52">
        <f>AR10-AR16</f>
        <v>3920</v>
      </c>
      <c r="AY22" s="52">
        <f>AS10-AS16</f>
        <v>3920</v>
      </c>
      <c r="AZ22" s="52">
        <f>AT10-AT16</f>
        <v>3920</v>
      </c>
      <c r="BA22" s="52">
        <f>AU10-AU16</f>
        <v>3920</v>
      </c>
      <c r="BB22" s="52">
        <f>AV10-AV16</f>
        <v>3920</v>
      </c>
      <c r="BC22" s="52">
        <f>AW10-AW16</f>
        <v>3920</v>
      </c>
      <c r="BD22" s="52">
        <f>AX10-AX16</f>
        <v>0</v>
      </c>
      <c r="BE22" s="52">
        <f>AY10-AY16</f>
        <v>0</v>
      </c>
      <c r="BF22" s="52">
        <f>AZ10-AZ16</f>
        <v>0</v>
      </c>
      <c r="BG22" s="52">
        <f>BA10-BA16</f>
        <v>0</v>
      </c>
      <c r="BH22" s="52">
        <f>BB10-BB16</f>
        <v>0</v>
      </c>
      <c r="BI22" s="52">
        <f>BC10-BC16</f>
        <v>0</v>
      </c>
      <c r="BJ22" s="52">
        <f>BD10-BD16</f>
        <v>3920</v>
      </c>
      <c r="BK22" s="52">
        <f>BE10-BE16</f>
        <v>3920</v>
      </c>
      <c r="BL22" s="52">
        <f>BF10-BF16</f>
        <v>3920</v>
      </c>
      <c r="BM22" s="52">
        <f>BG10-BG16</f>
        <v>3920</v>
      </c>
      <c r="BN22" s="52">
        <f>BH10-BH16</f>
        <v>3920</v>
      </c>
      <c r="BO22" s="52">
        <f>BI10-BI16</f>
        <v>3920</v>
      </c>
      <c r="BP22" s="52">
        <f>BJ10-BJ16</f>
        <v>0</v>
      </c>
      <c r="BQ22" s="52">
        <f>BK10-BK16</f>
        <v>0</v>
      </c>
      <c r="BR22" s="52">
        <f>BL10-BL16</f>
        <v>0</v>
      </c>
      <c r="BS22" s="52">
        <f>BM10-BM16</f>
        <v>0</v>
      </c>
      <c r="BT22" s="52">
        <f>BN10-BN16</f>
        <v>0</v>
      </c>
      <c r="BU22" s="52">
        <f>BO10-BO16</f>
        <v>0</v>
      </c>
      <c r="BV22" s="52">
        <f>BP10-BP16</f>
        <v>3920</v>
      </c>
      <c r="BW22" s="52">
        <f>BQ10-BQ16</f>
        <v>3920</v>
      </c>
      <c r="BX22" s="52">
        <f>BR10-BR16</f>
        <v>3920</v>
      </c>
      <c r="BY22" s="52">
        <f>BS10-BS16</f>
        <v>3920</v>
      </c>
      <c r="BZ22" s="52">
        <f>BT10-BT16</f>
        <v>3920</v>
      </c>
      <c r="CA22" s="52">
        <f>BU10-BU16</f>
        <v>3920</v>
      </c>
      <c r="CB22" s="52">
        <f>BV10-BV16</f>
        <v>0</v>
      </c>
      <c r="CC22" s="52">
        <f>BW10-BW16</f>
        <v>0</v>
      </c>
      <c r="CD22" s="52">
        <f>BX10-BX16</f>
        <v>0</v>
      </c>
      <c r="CE22" s="52">
        <f>BY10-BY16</f>
        <v>0</v>
      </c>
      <c r="CF22" s="52">
        <f>BZ10-BZ16</f>
        <v>0</v>
      </c>
      <c r="CG22" s="52">
        <f>CA10-CA16</f>
        <v>0</v>
      </c>
      <c r="CH22" s="52">
        <f>CB10-CB16</f>
        <v>3920</v>
      </c>
      <c r="CI22" s="52">
        <f>CC10-CC16</f>
        <v>3920</v>
      </c>
      <c r="CJ22" s="52">
        <f>CD10-CD16</f>
        <v>3920</v>
      </c>
      <c r="CK22" s="52">
        <f>CE10-CE16</f>
        <v>3920</v>
      </c>
      <c r="CL22" s="52">
        <f>CF10-CF16</f>
        <v>3920</v>
      </c>
      <c r="CM22" s="52">
        <f>CG10-CG16</f>
        <v>3920</v>
      </c>
      <c r="CN22" s="52">
        <f>CH10-CH16</f>
        <v>0</v>
      </c>
      <c r="CO22" s="52">
        <f>CI10-CI16</f>
        <v>0</v>
      </c>
      <c r="CP22" s="52">
        <f>CJ10-CJ16</f>
        <v>0</v>
      </c>
      <c r="CQ22" s="52">
        <f>CK10-CK16</f>
        <v>0</v>
      </c>
      <c r="CR22" s="52">
        <f>CL10-CL16</f>
        <v>0</v>
      </c>
      <c r="CS22" s="52">
        <f>CM10-CM16</f>
        <v>0</v>
      </c>
      <c r="CT22" s="52">
        <f>CN10-CN16</f>
        <v>3920</v>
      </c>
      <c r="CU22" s="52">
        <f>CO10-CO16</f>
        <v>3920</v>
      </c>
      <c r="CV22" s="52">
        <f>CP10-CP16</f>
        <v>3920</v>
      </c>
      <c r="CW22" s="52">
        <f>CQ10-CQ16</f>
        <v>3920</v>
      </c>
      <c r="CX22" s="52">
        <f>CR10-CR16</f>
        <v>3920</v>
      </c>
      <c r="CY22" s="52">
        <f>CS10-CS16</f>
        <v>3920</v>
      </c>
      <c r="CZ22" s="52">
        <f>CT10-CT16</f>
        <v>0</v>
      </c>
      <c r="DA22" s="52">
        <f>CU10-CU16</f>
        <v>0</v>
      </c>
      <c r="DB22" s="52">
        <f>CV10-CV16</f>
        <v>0</v>
      </c>
      <c r="DC22" s="52">
        <f>CW10-CW16</f>
        <v>0</v>
      </c>
      <c r="DD22" s="52">
        <f>CX10-CX16</f>
        <v>0</v>
      </c>
      <c r="DE22" s="52">
        <f>CY10-CY16</f>
        <v>0</v>
      </c>
      <c r="DF22" s="52">
        <f>CZ10-CZ16</f>
        <v>3920</v>
      </c>
      <c r="DG22" s="52">
        <f>DA10-DA16</f>
        <v>3920</v>
      </c>
      <c r="DH22" s="52">
        <f>DB10-DB16</f>
        <v>3920</v>
      </c>
      <c r="DI22" s="52">
        <f>DC10-DC16</f>
        <v>3920</v>
      </c>
      <c r="DJ22" s="52">
        <f>DD10-DD16</f>
        <v>3920</v>
      </c>
      <c r="DK22" s="52">
        <f>DE10-DE16</f>
        <v>3920</v>
      </c>
      <c r="DL22" s="52">
        <f>DF10-DF16</f>
        <v>0</v>
      </c>
      <c r="DM22" s="52">
        <f>DG10-DG16</f>
        <v>0</v>
      </c>
      <c r="DN22" s="52">
        <f>DH10-DH16</f>
        <v>0</v>
      </c>
      <c r="DO22" s="52">
        <f>DI10-DI16</f>
        <v>0</v>
      </c>
      <c r="DP22" s="52">
        <f>DJ10-DJ16</f>
        <v>0</v>
      </c>
      <c r="DQ22" s="52">
        <f>DK10-DK16</f>
        <v>0</v>
      </c>
      <c r="DR22" s="52">
        <f>DL10-DL16</f>
        <v>3920</v>
      </c>
      <c r="DS22" s="52">
        <f>DM10-DM16</f>
        <v>3920</v>
      </c>
      <c r="DT22" s="52">
        <f>DN10-DN16</f>
        <v>3920</v>
      </c>
      <c r="DU22" s="52">
        <f>DO10-DO16</f>
        <v>3920</v>
      </c>
      <c r="DV22" s="52">
        <f>DP10-DP16</f>
        <v>3920</v>
      </c>
      <c r="DW22" s="52">
        <f>DQ10-DQ16</f>
        <v>3920</v>
      </c>
      <c r="DX22" s="52">
        <f>DR10-DR16</f>
        <v>0</v>
      </c>
      <c r="DY22" s="52">
        <f>DS10-DS16</f>
        <v>0</v>
      </c>
      <c r="DZ22" s="52">
        <f>DT10-DT16</f>
        <v>0</v>
      </c>
      <c r="EA22" s="52">
        <f>DU10-DU16</f>
        <v>0</v>
      </c>
      <c r="EB22" s="52">
        <f>DV10-DV16</f>
        <v>0</v>
      </c>
      <c r="EC22" s="52">
        <f>DW10-DW16</f>
        <v>0</v>
      </c>
      <c r="ED22" s="52">
        <f>DX10-DX16</f>
        <v>3920</v>
      </c>
      <c r="EE22" s="52">
        <f>DY10-DY16</f>
        <v>3920</v>
      </c>
      <c r="EF22" s="52">
        <f>DZ10-DZ16</f>
        <v>3920</v>
      </c>
      <c r="EG22" s="52">
        <f>EA10-EA16</f>
        <v>3920</v>
      </c>
      <c r="EH22" s="52">
        <f>EB10-EB16</f>
        <v>3920</v>
      </c>
      <c r="EI22" s="52">
        <f>EC10-EC16</f>
        <v>3920</v>
      </c>
      <c r="EJ22" s="52">
        <f>ED10-ED16</f>
        <v>0</v>
      </c>
      <c r="EK22" s="52">
        <f>EE10-EE16</f>
        <v>0</v>
      </c>
      <c r="EL22" s="52">
        <f>EF10-EF16</f>
        <v>0</v>
      </c>
      <c r="EM22" s="52">
        <f>EG10-EG16</f>
        <v>0</v>
      </c>
      <c r="EN22" s="52">
        <f>EH10-EH16</f>
        <v>0</v>
      </c>
      <c r="EO22" s="52">
        <f>EI10-EI16</f>
        <v>0</v>
      </c>
      <c r="EP22" s="52">
        <f>EJ10-EJ16</f>
        <v>3920</v>
      </c>
      <c r="EQ22" s="52">
        <f>EK10-EK16</f>
        <v>3920</v>
      </c>
      <c r="ER22" s="52">
        <f>EL10-EL16</f>
        <v>3920</v>
      </c>
      <c r="ES22" s="52">
        <f>EM10-EM16</f>
        <v>3920</v>
      </c>
      <c r="ET22" s="52">
        <f>EN10-EN16</f>
        <v>3920</v>
      </c>
      <c r="EU22" s="52">
        <f>EO10-EO16</f>
        <v>3920</v>
      </c>
      <c r="EV22" s="52">
        <f>EP10-EP16</f>
        <v>0</v>
      </c>
      <c r="EW22" s="52">
        <f>EQ10-EQ16</f>
        <v>0</v>
      </c>
      <c r="EX22" s="52">
        <f>ER10-ER16</f>
        <v>0</v>
      </c>
      <c r="EY22" s="52">
        <f>ES10-ES16</f>
        <v>0</v>
      </c>
      <c r="EZ22" s="52">
        <f>ET10-ET16</f>
        <v>0</v>
      </c>
      <c r="FA22" s="52">
        <f>EU10-EU16</f>
        <v>0</v>
      </c>
      <c r="FB22" s="52">
        <f>EV10-EV16</f>
        <v>3920</v>
      </c>
      <c r="FC22" s="52">
        <f>EW10-EW16</f>
        <v>3920</v>
      </c>
      <c r="FD22" s="52">
        <f>EX10-EX16</f>
        <v>3920</v>
      </c>
      <c r="FE22" s="52">
        <f>EY10-EY16</f>
        <v>3920</v>
      </c>
      <c r="FF22" s="52">
        <f>EZ10-EZ16</f>
        <v>3920</v>
      </c>
      <c r="FG22" s="52">
        <f>FA10-FA16</f>
        <v>3920</v>
      </c>
      <c r="FH22" s="52">
        <f>FB10-FB16</f>
        <v>0</v>
      </c>
      <c r="FI22" s="52">
        <f>FC10-FC16</f>
        <v>0</v>
      </c>
      <c r="FJ22" s="52">
        <f>FD10-FD16</f>
        <v>0</v>
      </c>
      <c r="FK22" s="52">
        <f>FE10-FE16</f>
        <v>0</v>
      </c>
      <c r="FL22" s="52">
        <f>FF10-FF16</f>
        <v>0</v>
      </c>
      <c r="FM22" s="52">
        <f>FG10-FG16</f>
        <v>0</v>
      </c>
      <c r="FN22" s="52">
        <f>FH10-FH16</f>
        <v>3920</v>
      </c>
      <c r="FO22" s="52">
        <f>FI10-FI16</f>
        <v>3920</v>
      </c>
    </row>
    <row r="23" spans="1:171">
      <c r="A23" s="87" t="s">
        <v>150</v>
      </c>
      <c r="B23" s="52">
        <v>0</v>
      </c>
      <c r="C23" s="52">
        <v>0</v>
      </c>
      <c r="D23" s="52">
        <v>0</v>
      </c>
      <c r="E23" s="52">
        <f t="shared" ref="E23" si="203">E4/3</f>
        <v>2090.6666666666665</v>
      </c>
      <c r="F23" s="52">
        <f t="shared" ref="F23:G25" si="204">E23</f>
        <v>2090.6666666666665</v>
      </c>
      <c r="G23" s="52">
        <f t="shared" si="204"/>
        <v>2090.6666666666665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52">
        <f t="shared" ref="N23:N25" si="205">H11-H17</f>
        <v>1045.3333333333335</v>
      </c>
      <c r="O23" s="52">
        <f t="shared" si="202"/>
        <v>1045.3333333333335</v>
      </c>
      <c r="P23" s="52">
        <f t="shared" si="202"/>
        <v>1045.3333333333335</v>
      </c>
      <c r="Q23" s="52">
        <f t="shared" si="202"/>
        <v>1045.3333333333335</v>
      </c>
      <c r="R23" s="52">
        <f t="shared" si="202"/>
        <v>1045.3333333333335</v>
      </c>
      <c r="S23" s="52">
        <f t="shared" si="202"/>
        <v>1045.3333333333335</v>
      </c>
      <c r="T23" s="52">
        <f>N11-N17</f>
        <v>0</v>
      </c>
      <c r="U23" s="52">
        <f>O11-O17</f>
        <v>0</v>
      </c>
      <c r="V23" s="52">
        <f>P11-P17</f>
        <v>0</v>
      </c>
      <c r="W23" s="52">
        <f>Q11-Q17</f>
        <v>0</v>
      </c>
      <c r="X23" s="52">
        <f>R11-R17</f>
        <v>0</v>
      </c>
      <c r="Y23" s="52">
        <f>S11-S17</f>
        <v>0</v>
      </c>
      <c r="Z23" s="52">
        <f>T11-T17</f>
        <v>1045.3333333333335</v>
      </c>
      <c r="AA23" s="52">
        <f>U11-U17</f>
        <v>1045.3333333333335</v>
      </c>
      <c r="AB23" s="52">
        <f>V11-V17</f>
        <v>1045.3333333333335</v>
      </c>
      <c r="AC23" s="52">
        <f>W11-W17</f>
        <v>1045.3333333333335</v>
      </c>
      <c r="AD23" s="52">
        <f>X11-X17</f>
        <v>1045.3333333333335</v>
      </c>
      <c r="AE23" s="52">
        <f>Y11-Y17</f>
        <v>1045.3333333333335</v>
      </c>
      <c r="AF23" s="52">
        <f>Z11-Z17</f>
        <v>0</v>
      </c>
      <c r="AG23" s="52">
        <f>AA11-AA17</f>
        <v>0</v>
      </c>
      <c r="AH23" s="52">
        <f>AB11-AB17</f>
        <v>0</v>
      </c>
      <c r="AI23" s="52">
        <f>AC11-AC17</f>
        <v>0</v>
      </c>
      <c r="AJ23" s="52">
        <f>AD11-AD17</f>
        <v>0</v>
      </c>
      <c r="AK23" s="52">
        <f>AE11-AE17</f>
        <v>0</v>
      </c>
      <c r="AL23" s="52">
        <f>AF11-AF17</f>
        <v>1045.3333333333335</v>
      </c>
      <c r="AM23" s="52">
        <f>AG11-AG17</f>
        <v>1045.3333333333335</v>
      </c>
      <c r="AN23" s="52">
        <f>AH11-AH17</f>
        <v>1045.3333333333335</v>
      </c>
      <c r="AO23" s="52">
        <f>AI11-AI17</f>
        <v>1045.3333333333335</v>
      </c>
      <c r="AP23" s="52">
        <f>AJ11-AJ17</f>
        <v>1045.3333333333335</v>
      </c>
      <c r="AQ23" s="52">
        <f>AK11-AK17</f>
        <v>1045.3333333333335</v>
      </c>
      <c r="AR23" s="52">
        <f>AL11-AL17</f>
        <v>0</v>
      </c>
      <c r="AS23" s="52">
        <f>AM11-AM17</f>
        <v>0</v>
      </c>
      <c r="AT23" s="52">
        <f>AN11-AN17</f>
        <v>0</v>
      </c>
      <c r="AU23" s="52">
        <f>AO11-AO17</f>
        <v>0</v>
      </c>
      <c r="AV23" s="52">
        <f>AP11-AP17</f>
        <v>0</v>
      </c>
      <c r="AW23" s="52">
        <f>AQ11-AQ17</f>
        <v>0</v>
      </c>
      <c r="AX23" s="52">
        <f>AR11-AR17</f>
        <v>1045.3333333333335</v>
      </c>
      <c r="AY23" s="52">
        <f>AS11-AS17</f>
        <v>1045.3333333333335</v>
      </c>
      <c r="AZ23" s="52">
        <f>AT11-AT17</f>
        <v>1045.3333333333335</v>
      </c>
      <c r="BA23" s="52">
        <f>AU11-AU17</f>
        <v>1045.3333333333335</v>
      </c>
      <c r="BB23" s="52">
        <f>AV11-AV17</f>
        <v>1045.3333333333335</v>
      </c>
      <c r="BC23" s="52">
        <f>AW11-AW17</f>
        <v>1045.3333333333335</v>
      </c>
      <c r="BD23" s="52">
        <f>AX11-AX17</f>
        <v>0</v>
      </c>
      <c r="BE23" s="52">
        <f>AY11-AY17</f>
        <v>0</v>
      </c>
      <c r="BF23" s="52">
        <f>AZ11-AZ17</f>
        <v>0</v>
      </c>
      <c r="BG23" s="52">
        <f>BA11-BA17</f>
        <v>0</v>
      </c>
      <c r="BH23" s="52">
        <f>BB11-BB17</f>
        <v>0</v>
      </c>
      <c r="BI23" s="52">
        <f>BC11-BC17</f>
        <v>0</v>
      </c>
      <c r="BJ23" s="52">
        <f>BD11-BD17</f>
        <v>1045.3333333333335</v>
      </c>
      <c r="BK23" s="52">
        <f>BE11-BE17</f>
        <v>1045.3333333333335</v>
      </c>
      <c r="BL23" s="52">
        <f>BF11-BF17</f>
        <v>1045.3333333333335</v>
      </c>
      <c r="BM23" s="52">
        <f>BG11-BG17</f>
        <v>1045.3333333333335</v>
      </c>
      <c r="BN23" s="52">
        <f>BH11-BH17</f>
        <v>1045.3333333333335</v>
      </c>
      <c r="BO23" s="52">
        <f>BI11-BI17</f>
        <v>1045.3333333333335</v>
      </c>
      <c r="BP23" s="52">
        <f>BJ11-BJ17</f>
        <v>0</v>
      </c>
      <c r="BQ23" s="52">
        <f>BK11-BK17</f>
        <v>0</v>
      </c>
      <c r="BR23" s="52">
        <f>BL11-BL17</f>
        <v>0</v>
      </c>
      <c r="BS23" s="52">
        <f>BM11-BM17</f>
        <v>0</v>
      </c>
      <c r="BT23" s="52">
        <f>BN11-BN17</f>
        <v>0</v>
      </c>
      <c r="BU23" s="52">
        <f>BO11-BO17</f>
        <v>0</v>
      </c>
      <c r="BV23" s="52">
        <f>BP11-BP17</f>
        <v>1045.3333333333335</v>
      </c>
      <c r="BW23" s="52">
        <f>BQ11-BQ17</f>
        <v>1045.3333333333335</v>
      </c>
      <c r="BX23" s="52">
        <f>BR11-BR17</f>
        <v>1045.3333333333335</v>
      </c>
      <c r="BY23" s="52">
        <f>BS11-BS17</f>
        <v>1045.3333333333335</v>
      </c>
      <c r="BZ23" s="52">
        <f>BT11-BT17</f>
        <v>1045.3333333333335</v>
      </c>
      <c r="CA23" s="52">
        <f>BU11-BU17</f>
        <v>1045.3333333333335</v>
      </c>
      <c r="CB23" s="52">
        <f>BV11-BV17</f>
        <v>0</v>
      </c>
      <c r="CC23" s="52">
        <f>BW11-BW17</f>
        <v>0</v>
      </c>
      <c r="CD23" s="52">
        <f>BX11-BX17</f>
        <v>0</v>
      </c>
      <c r="CE23" s="52">
        <f>BY11-BY17</f>
        <v>0</v>
      </c>
      <c r="CF23" s="52">
        <f>BZ11-BZ17</f>
        <v>0</v>
      </c>
      <c r="CG23" s="52">
        <f>CA11-CA17</f>
        <v>0</v>
      </c>
      <c r="CH23" s="52">
        <f>CB11-CB17</f>
        <v>1045.3333333333335</v>
      </c>
      <c r="CI23" s="52">
        <f>CC11-CC17</f>
        <v>1045.3333333333335</v>
      </c>
      <c r="CJ23" s="52">
        <f>CD11-CD17</f>
        <v>1045.3333333333335</v>
      </c>
      <c r="CK23" s="52">
        <f>CE11-CE17</f>
        <v>1045.3333333333335</v>
      </c>
      <c r="CL23" s="52">
        <f>CF11-CF17</f>
        <v>1045.3333333333335</v>
      </c>
      <c r="CM23" s="52">
        <f>CG11-CG17</f>
        <v>1045.3333333333335</v>
      </c>
      <c r="CN23" s="52">
        <f>CH11-CH17</f>
        <v>0</v>
      </c>
      <c r="CO23" s="52">
        <f>CI11-CI17</f>
        <v>0</v>
      </c>
      <c r="CP23" s="52">
        <f>CJ11-CJ17</f>
        <v>0</v>
      </c>
      <c r="CQ23" s="52">
        <f>CK11-CK17</f>
        <v>0</v>
      </c>
      <c r="CR23" s="52">
        <f>CL11-CL17</f>
        <v>0</v>
      </c>
      <c r="CS23" s="52">
        <f>CM11-CM17</f>
        <v>0</v>
      </c>
      <c r="CT23" s="52">
        <f>CN11-CN17</f>
        <v>1045.3333333333335</v>
      </c>
      <c r="CU23" s="52">
        <f>CO11-CO17</f>
        <v>1045.3333333333335</v>
      </c>
      <c r="CV23" s="52">
        <f>CP11-CP17</f>
        <v>1045.3333333333335</v>
      </c>
      <c r="CW23" s="52">
        <f>CQ11-CQ17</f>
        <v>1045.3333333333335</v>
      </c>
      <c r="CX23" s="52">
        <f>CR11-CR17</f>
        <v>1045.3333333333335</v>
      </c>
      <c r="CY23" s="52">
        <f>CS11-CS17</f>
        <v>1045.3333333333335</v>
      </c>
      <c r="CZ23" s="52">
        <f>CT11-CT17</f>
        <v>0</v>
      </c>
      <c r="DA23" s="52">
        <f>CU11-CU17</f>
        <v>0</v>
      </c>
      <c r="DB23" s="52">
        <f>CV11-CV17</f>
        <v>0</v>
      </c>
      <c r="DC23" s="52">
        <f>CW11-CW17</f>
        <v>0</v>
      </c>
      <c r="DD23" s="52">
        <f>CX11-CX17</f>
        <v>0</v>
      </c>
      <c r="DE23" s="52">
        <f>CY11-CY17</f>
        <v>0</v>
      </c>
      <c r="DF23" s="52">
        <f>CZ11-CZ17</f>
        <v>1045.3333333333335</v>
      </c>
      <c r="DG23" s="52">
        <f>DA11-DA17</f>
        <v>1045.3333333333335</v>
      </c>
      <c r="DH23" s="52">
        <f>DB11-DB17</f>
        <v>1045.3333333333335</v>
      </c>
      <c r="DI23" s="52">
        <f>DC11-DC17</f>
        <v>1045.3333333333335</v>
      </c>
      <c r="DJ23" s="52">
        <f>DD11-DD17</f>
        <v>1045.3333333333335</v>
      </c>
      <c r="DK23" s="52">
        <f>DE11-DE17</f>
        <v>1045.3333333333335</v>
      </c>
      <c r="DL23" s="52">
        <f>DF11-DF17</f>
        <v>0</v>
      </c>
      <c r="DM23" s="52">
        <f>DG11-DG17</f>
        <v>0</v>
      </c>
      <c r="DN23" s="52">
        <f>DH11-DH17</f>
        <v>0</v>
      </c>
      <c r="DO23" s="52">
        <f>DI11-DI17</f>
        <v>0</v>
      </c>
      <c r="DP23" s="52">
        <f>DJ11-DJ17</f>
        <v>0</v>
      </c>
      <c r="DQ23" s="52">
        <f>DK11-DK17</f>
        <v>0</v>
      </c>
      <c r="DR23" s="52">
        <f>DL11-DL17</f>
        <v>1045.3333333333335</v>
      </c>
      <c r="DS23" s="52">
        <f>DM11-DM17</f>
        <v>1045.3333333333335</v>
      </c>
      <c r="DT23" s="52">
        <f>DN11-DN17</f>
        <v>1045.3333333333335</v>
      </c>
      <c r="DU23" s="52">
        <f>DO11-DO17</f>
        <v>1045.3333333333335</v>
      </c>
      <c r="DV23" s="52">
        <f>DP11-DP17</f>
        <v>1045.3333333333335</v>
      </c>
      <c r="DW23" s="52">
        <f>DQ11-DQ17</f>
        <v>1045.3333333333335</v>
      </c>
      <c r="DX23" s="52">
        <f>DR11-DR17</f>
        <v>0</v>
      </c>
      <c r="DY23" s="52">
        <f>DS11-DS17</f>
        <v>0</v>
      </c>
      <c r="DZ23" s="52">
        <f>DT11-DT17</f>
        <v>0</v>
      </c>
      <c r="EA23" s="52">
        <f>DU11-DU17</f>
        <v>0</v>
      </c>
      <c r="EB23" s="52">
        <f>DV11-DV17</f>
        <v>0</v>
      </c>
      <c r="EC23" s="52">
        <f>DW11-DW17</f>
        <v>0</v>
      </c>
      <c r="ED23" s="52">
        <f>DX11-DX17</f>
        <v>1045.3333333333335</v>
      </c>
      <c r="EE23" s="52">
        <f>DY11-DY17</f>
        <v>1045.3333333333335</v>
      </c>
      <c r="EF23" s="52">
        <f>DZ11-DZ17</f>
        <v>1045.3333333333335</v>
      </c>
      <c r="EG23" s="52">
        <f>EA11-EA17</f>
        <v>1045.3333333333335</v>
      </c>
      <c r="EH23" s="52">
        <f>EB11-EB17</f>
        <v>1045.3333333333335</v>
      </c>
      <c r="EI23" s="52">
        <f>EC11-EC17</f>
        <v>1045.3333333333335</v>
      </c>
      <c r="EJ23" s="52">
        <f>ED11-ED17</f>
        <v>0</v>
      </c>
      <c r="EK23" s="52">
        <f>EE11-EE17</f>
        <v>0</v>
      </c>
      <c r="EL23" s="52">
        <f>EF11-EF17</f>
        <v>0</v>
      </c>
      <c r="EM23" s="52">
        <f>EG11-EG17</f>
        <v>0</v>
      </c>
      <c r="EN23" s="52">
        <f>EH11-EH17</f>
        <v>0</v>
      </c>
      <c r="EO23" s="52">
        <f>EI11-EI17</f>
        <v>0</v>
      </c>
      <c r="EP23" s="52">
        <f>EJ11-EJ17</f>
        <v>1045.3333333333335</v>
      </c>
      <c r="EQ23" s="52">
        <f>EK11-EK17</f>
        <v>1045.3333333333335</v>
      </c>
      <c r="ER23" s="52">
        <f>EL11-EL17</f>
        <v>1045.3333333333335</v>
      </c>
      <c r="ES23" s="52">
        <f>EM11-EM17</f>
        <v>1045.3333333333335</v>
      </c>
      <c r="ET23" s="52">
        <f>EN11-EN17</f>
        <v>1045.3333333333335</v>
      </c>
      <c r="EU23" s="52">
        <f>EO11-EO17</f>
        <v>1045.3333333333335</v>
      </c>
      <c r="EV23" s="52">
        <f>EP11-EP17</f>
        <v>0</v>
      </c>
      <c r="EW23" s="52">
        <f>EQ11-EQ17</f>
        <v>0</v>
      </c>
      <c r="EX23" s="52">
        <f>ER11-ER17</f>
        <v>0</v>
      </c>
      <c r="EY23" s="52">
        <f>ES11-ES17</f>
        <v>0</v>
      </c>
      <c r="EZ23" s="52">
        <f>ET11-ET17</f>
        <v>0</v>
      </c>
      <c r="FA23" s="52">
        <f>EU11-EU17</f>
        <v>0</v>
      </c>
      <c r="FB23" s="52">
        <f>EV11-EV17</f>
        <v>1045.3333333333335</v>
      </c>
      <c r="FC23" s="52">
        <f>EW11-EW17</f>
        <v>1045.3333333333335</v>
      </c>
      <c r="FD23" s="52">
        <f>EX11-EX17</f>
        <v>1045.3333333333335</v>
      </c>
      <c r="FE23" s="52">
        <f>EY11-EY17</f>
        <v>1045.3333333333335</v>
      </c>
      <c r="FF23" s="52">
        <f>EZ11-EZ17</f>
        <v>1045.3333333333335</v>
      </c>
      <c r="FG23" s="52">
        <f>FA11-FA17</f>
        <v>1045.3333333333335</v>
      </c>
      <c r="FH23" s="52">
        <f>FB11-FB17</f>
        <v>0</v>
      </c>
      <c r="FI23" s="52">
        <f>FC11-FC17</f>
        <v>0</v>
      </c>
      <c r="FJ23" s="52">
        <f>FD11-FD17</f>
        <v>0</v>
      </c>
      <c r="FK23" s="52">
        <f>FE11-FE17</f>
        <v>0</v>
      </c>
      <c r="FL23" s="52">
        <f>FF11-FF17</f>
        <v>0</v>
      </c>
      <c r="FM23" s="52">
        <f>FG11-FG17</f>
        <v>0</v>
      </c>
      <c r="FN23" s="52">
        <f>FH11-FH17</f>
        <v>1045.3333333333335</v>
      </c>
      <c r="FO23" s="52">
        <f>FI11-FI17</f>
        <v>1045.3333333333335</v>
      </c>
    </row>
    <row r="24" spans="1:171">
      <c r="A24" s="87" t="s">
        <v>151</v>
      </c>
      <c r="B24" s="52">
        <v>0</v>
      </c>
      <c r="C24" s="52">
        <v>0</v>
      </c>
      <c r="D24" s="52">
        <v>0</v>
      </c>
      <c r="E24" s="52">
        <f t="shared" ref="E24" si="206">E5/3</f>
        <v>2090.6666666666665</v>
      </c>
      <c r="F24" s="52">
        <f t="shared" si="204"/>
        <v>2090.6666666666665</v>
      </c>
      <c r="G24" s="52">
        <f t="shared" si="204"/>
        <v>2090.6666666666665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52">
        <f t="shared" si="205"/>
        <v>1045.3333333333335</v>
      </c>
      <c r="O24" s="52">
        <f t="shared" si="202"/>
        <v>1045.3333333333335</v>
      </c>
      <c r="P24" s="52">
        <f t="shared" si="202"/>
        <v>1045.3333333333335</v>
      </c>
      <c r="Q24" s="52">
        <f t="shared" si="202"/>
        <v>1045.3333333333335</v>
      </c>
      <c r="R24" s="52">
        <f t="shared" si="202"/>
        <v>1045.3333333333335</v>
      </c>
      <c r="S24" s="52">
        <f t="shared" si="202"/>
        <v>1045.3333333333335</v>
      </c>
      <c r="T24" s="52">
        <f>N12-N18</f>
        <v>0</v>
      </c>
      <c r="U24" s="52">
        <f>O12-O18</f>
        <v>0</v>
      </c>
      <c r="V24" s="52">
        <f>P12-P18</f>
        <v>0</v>
      </c>
      <c r="W24" s="52">
        <f>Q12-Q18</f>
        <v>0</v>
      </c>
      <c r="X24" s="52">
        <f>R12-R18</f>
        <v>0</v>
      </c>
      <c r="Y24" s="52">
        <f>S12-S18</f>
        <v>0</v>
      </c>
      <c r="Z24" s="52">
        <f>T12-T18</f>
        <v>1045.3333333333335</v>
      </c>
      <c r="AA24" s="52">
        <f>U12-U18</f>
        <v>1045.3333333333335</v>
      </c>
      <c r="AB24" s="52">
        <f>V12-V18</f>
        <v>1045.3333333333335</v>
      </c>
      <c r="AC24" s="52">
        <f>W12-W18</f>
        <v>1045.3333333333335</v>
      </c>
      <c r="AD24" s="52">
        <f>X12-X18</f>
        <v>1045.3333333333335</v>
      </c>
      <c r="AE24" s="52">
        <f>Y12-Y18</f>
        <v>1045.3333333333335</v>
      </c>
      <c r="AF24" s="52">
        <f>Z12-Z18</f>
        <v>0</v>
      </c>
      <c r="AG24" s="52">
        <f>AA12-AA18</f>
        <v>0</v>
      </c>
      <c r="AH24" s="52">
        <f>AB12-AB18</f>
        <v>0</v>
      </c>
      <c r="AI24" s="52">
        <f>AC12-AC18</f>
        <v>0</v>
      </c>
      <c r="AJ24" s="52">
        <f>AD12-AD18</f>
        <v>0</v>
      </c>
      <c r="AK24" s="52">
        <f>AE12-AE18</f>
        <v>0</v>
      </c>
      <c r="AL24" s="52">
        <f>AF12-AF18</f>
        <v>1045.3333333333335</v>
      </c>
      <c r="AM24" s="52">
        <f>AG12-AG18</f>
        <v>1045.3333333333335</v>
      </c>
      <c r="AN24" s="52">
        <f>AH12-AH18</f>
        <v>1045.3333333333335</v>
      </c>
      <c r="AO24" s="52">
        <f>AI12-AI18</f>
        <v>1045.3333333333335</v>
      </c>
      <c r="AP24" s="52">
        <f>AJ12-AJ18</f>
        <v>1045.3333333333335</v>
      </c>
      <c r="AQ24" s="52">
        <f>AK12-AK18</f>
        <v>1045.3333333333335</v>
      </c>
      <c r="AR24" s="52">
        <f>AL12-AL18</f>
        <v>0</v>
      </c>
      <c r="AS24" s="52">
        <f>AM12-AM18</f>
        <v>0</v>
      </c>
      <c r="AT24" s="52">
        <f>AN12-AN18</f>
        <v>0</v>
      </c>
      <c r="AU24" s="52">
        <f>AO12-AO18</f>
        <v>0</v>
      </c>
      <c r="AV24" s="52">
        <f>AP12-AP18</f>
        <v>0</v>
      </c>
      <c r="AW24" s="52">
        <f>AQ12-AQ18</f>
        <v>0</v>
      </c>
      <c r="AX24" s="52">
        <f>AR12-AR18</f>
        <v>1045.3333333333335</v>
      </c>
      <c r="AY24" s="52">
        <f>AS12-AS18</f>
        <v>1045.3333333333335</v>
      </c>
      <c r="AZ24" s="52">
        <f>AT12-AT18</f>
        <v>1045.3333333333335</v>
      </c>
      <c r="BA24" s="52">
        <f>AU12-AU18</f>
        <v>1045.3333333333335</v>
      </c>
      <c r="BB24" s="52">
        <f>AV12-AV18</f>
        <v>1045.3333333333335</v>
      </c>
      <c r="BC24" s="52">
        <f>AW12-AW18</f>
        <v>1045.3333333333335</v>
      </c>
      <c r="BD24" s="52">
        <f>AX12-AX18</f>
        <v>0</v>
      </c>
      <c r="BE24" s="52">
        <f>AY12-AY18</f>
        <v>0</v>
      </c>
      <c r="BF24" s="52">
        <f>AZ12-AZ18</f>
        <v>0</v>
      </c>
      <c r="BG24" s="52">
        <f>BA12-BA18</f>
        <v>0</v>
      </c>
      <c r="BH24" s="52">
        <f>BB12-BB18</f>
        <v>0</v>
      </c>
      <c r="BI24" s="52">
        <f>BC12-BC18</f>
        <v>0</v>
      </c>
      <c r="BJ24" s="52">
        <f>BD12-BD18</f>
        <v>1045.3333333333335</v>
      </c>
      <c r="BK24" s="52">
        <f>BE12-BE18</f>
        <v>1045.3333333333335</v>
      </c>
      <c r="BL24" s="52">
        <f>BF12-BF18</f>
        <v>1045.3333333333335</v>
      </c>
      <c r="BM24" s="52">
        <f>BG12-BG18</f>
        <v>1045.3333333333335</v>
      </c>
      <c r="BN24" s="52">
        <f>BH12-BH18</f>
        <v>1045.3333333333335</v>
      </c>
      <c r="BO24" s="52">
        <f>BI12-BI18</f>
        <v>1045.3333333333335</v>
      </c>
      <c r="BP24" s="52">
        <f>BJ12-BJ18</f>
        <v>0</v>
      </c>
      <c r="BQ24" s="52">
        <f>BK12-BK18</f>
        <v>0</v>
      </c>
      <c r="BR24" s="52">
        <f>BL12-BL18</f>
        <v>0</v>
      </c>
      <c r="BS24" s="52">
        <f>BM12-BM18</f>
        <v>0</v>
      </c>
      <c r="BT24" s="52">
        <f>BN12-BN18</f>
        <v>0</v>
      </c>
      <c r="BU24" s="52">
        <f>BO12-BO18</f>
        <v>0</v>
      </c>
      <c r="BV24" s="52">
        <f>BP12-BP18</f>
        <v>1045.3333333333335</v>
      </c>
      <c r="BW24" s="52">
        <f>BQ12-BQ18</f>
        <v>1045.3333333333335</v>
      </c>
      <c r="BX24" s="52">
        <f>BR12-BR18</f>
        <v>1045.3333333333335</v>
      </c>
      <c r="BY24" s="52">
        <f>BS12-BS18</f>
        <v>1045.3333333333335</v>
      </c>
      <c r="BZ24" s="52">
        <f>BT12-BT18</f>
        <v>1045.3333333333335</v>
      </c>
      <c r="CA24" s="52">
        <f>BU12-BU18</f>
        <v>1045.3333333333335</v>
      </c>
      <c r="CB24" s="52">
        <f>BV12-BV18</f>
        <v>0</v>
      </c>
      <c r="CC24" s="52">
        <f>BW12-BW18</f>
        <v>0</v>
      </c>
      <c r="CD24" s="52">
        <f>BX12-BX18</f>
        <v>0</v>
      </c>
      <c r="CE24" s="52">
        <f>BY12-BY18</f>
        <v>0</v>
      </c>
      <c r="CF24" s="52">
        <f>BZ12-BZ18</f>
        <v>0</v>
      </c>
      <c r="CG24" s="52">
        <f>CA12-CA18</f>
        <v>0</v>
      </c>
      <c r="CH24" s="52">
        <f>CB12-CB18</f>
        <v>1045.3333333333335</v>
      </c>
      <c r="CI24" s="52">
        <f>CC12-CC18</f>
        <v>1045.3333333333335</v>
      </c>
      <c r="CJ24" s="52">
        <f>CD12-CD18</f>
        <v>1045.3333333333335</v>
      </c>
      <c r="CK24" s="52">
        <f>CE12-CE18</f>
        <v>1045.3333333333335</v>
      </c>
      <c r="CL24" s="52">
        <f>CF12-CF18</f>
        <v>1045.3333333333335</v>
      </c>
      <c r="CM24" s="52">
        <f>CG12-CG18</f>
        <v>1045.3333333333335</v>
      </c>
      <c r="CN24" s="52">
        <f>CH12-CH18</f>
        <v>0</v>
      </c>
      <c r="CO24" s="52">
        <f>CI12-CI18</f>
        <v>0</v>
      </c>
      <c r="CP24" s="52">
        <f>CJ12-CJ18</f>
        <v>0</v>
      </c>
      <c r="CQ24" s="52">
        <f>CK12-CK18</f>
        <v>0</v>
      </c>
      <c r="CR24" s="52">
        <f>CL12-CL18</f>
        <v>0</v>
      </c>
      <c r="CS24" s="52">
        <f>CM12-CM18</f>
        <v>0</v>
      </c>
      <c r="CT24" s="52">
        <f>CN12-CN18</f>
        <v>1045.3333333333335</v>
      </c>
      <c r="CU24" s="52">
        <f>CO12-CO18</f>
        <v>1045.3333333333335</v>
      </c>
      <c r="CV24" s="52">
        <f>CP12-CP18</f>
        <v>1045.3333333333335</v>
      </c>
      <c r="CW24" s="52">
        <f>CQ12-CQ18</f>
        <v>1045.3333333333335</v>
      </c>
      <c r="CX24" s="52">
        <f>CR12-CR18</f>
        <v>1045.3333333333335</v>
      </c>
      <c r="CY24" s="52">
        <f>CS12-CS18</f>
        <v>1045.3333333333335</v>
      </c>
      <c r="CZ24" s="52">
        <f>CT12-CT18</f>
        <v>0</v>
      </c>
      <c r="DA24" s="52">
        <f>CU12-CU18</f>
        <v>0</v>
      </c>
      <c r="DB24" s="52">
        <f>CV12-CV18</f>
        <v>0</v>
      </c>
      <c r="DC24" s="52">
        <f>CW12-CW18</f>
        <v>0</v>
      </c>
      <c r="DD24" s="52">
        <f>CX12-CX18</f>
        <v>0</v>
      </c>
      <c r="DE24" s="52">
        <f>CY12-CY18</f>
        <v>0</v>
      </c>
      <c r="DF24" s="52">
        <f>CZ12-CZ18</f>
        <v>1045.3333333333335</v>
      </c>
      <c r="DG24" s="52">
        <f>DA12-DA18</f>
        <v>1045.3333333333335</v>
      </c>
      <c r="DH24" s="52">
        <f>DB12-DB18</f>
        <v>1045.3333333333335</v>
      </c>
      <c r="DI24" s="52">
        <f>DC12-DC18</f>
        <v>1045.3333333333335</v>
      </c>
      <c r="DJ24" s="52">
        <f>DD12-DD18</f>
        <v>1045.3333333333335</v>
      </c>
      <c r="DK24" s="52">
        <f>DE12-DE18</f>
        <v>1045.3333333333335</v>
      </c>
      <c r="DL24" s="52">
        <f>DF12-DF18</f>
        <v>0</v>
      </c>
      <c r="DM24" s="52">
        <f>DG12-DG18</f>
        <v>0</v>
      </c>
      <c r="DN24" s="52">
        <f>DH12-DH18</f>
        <v>0</v>
      </c>
      <c r="DO24" s="52">
        <f>DI12-DI18</f>
        <v>0</v>
      </c>
      <c r="DP24" s="52">
        <f>DJ12-DJ18</f>
        <v>0</v>
      </c>
      <c r="DQ24" s="52">
        <f>DK12-DK18</f>
        <v>0</v>
      </c>
      <c r="DR24" s="52">
        <f>DL12-DL18</f>
        <v>1045.3333333333335</v>
      </c>
      <c r="DS24" s="52">
        <f>DM12-DM18</f>
        <v>1045.3333333333335</v>
      </c>
      <c r="DT24" s="52">
        <f>DN12-DN18</f>
        <v>1045.3333333333335</v>
      </c>
      <c r="DU24" s="52">
        <f>DO12-DO18</f>
        <v>1045.3333333333335</v>
      </c>
      <c r="DV24" s="52">
        <f>DP12-DP18</f>
        <v>1045.3333333333335</v>
      </c>
      <c r="DW24" s="52">
        <f>DQ12-DQ18</f>
        <v>1045.3333333333335</v>
      </c>
      <c r="DX24" s="52">
        <f>DR12-DR18</f>
        <v>0</v>
      </c>
      <c r="DY24" s="52">
        <f>DS12-DS18</f>
        <v>0</v>
      </c>
      <c r="DZ24" s="52">
        <f>DT12-DT18</f>
        <v>0</v>
      </c>
      <c r="EA24" s="52">
        <f>DU12-DU18</f>
        <v>0</v>
      </c>
      <c r="EB24" s="52">
        <f>DV12-DV18</f>
        <v>0</v>
      </c>
      <c r="EC24" s="52">
        <f>DW12-DW18</f>
        <v>0</v>
      </c>
      <c r="ED24" s="52">
        <f>DX12-DX18</f>
        <v>1045.3333333333335</v>
      </c>
      <c r="EE24" s="52">
        <f>DY12-DY18</f>
        <v>1045.3333333333335</v>
      </c>
      <c r="EF24" s="52">
        <f>DZ12-DZ18</f>
        <v>1045.3333333333335</v>
      </c>
      <c r="EG24" s="52">
        <f>EA12-EA18</f>
        <v>1045.3333333333335</v>
      </c>
      <c r="EH24" s="52">
        <f>EB12-EB18</f>
        <v>1045.3333333333335</v>
      </c>
      <c r="EI24" s="52">
        <f>EC12-EC18</f>
        <v>1045.3333333333335</v>
      </c>
      <c r="EJ24" s="52">
        <f>ED12-ED18</f>
        <v>0</v>
      </c>
      <c r="EK24" s="52">
        <f>EE12-EE18</f>
        <v>0</v>
      </c>
      <c r="EL24" s="52">
        <f>EF12-EF18</f>
        <v>0</v>
      </c>
      <c r="EM24" s="52">
        <f>EG12-EG18</f>
        <v>0</v>
      </c>
      <c r="EN24" s="52">
        <f>EH12-EH18</f>
        <v>0</v>
      </c>
      <c r="EO24" s="52">
        <f>EI12-EI18</f>
        <v>0</v>
      </c>
      <c r="EP24" s="52">
        <f>EJ12-EJ18</f>
        <v>1045.3333333333335</v>
      </c>
      <c r="EQ24" s="52">
        <f>EK12-EK18</f>
        <v>1045.3333333333335</v>
      </c>
      <c r="ER24" s="52">
        <f>EL12-EL18</f>
        <v>1045.3333333333335</v>
      </c>
      <c r="ES24" s="52">
        <f>EM12-EM18</f>
        <v>1045.3333333333335</v>
      </c>
      <c r="ET24" s="52">
        <f>EN12-EN18</f>
        <v>1045.3333333333335</v>
      </c>
      <c r="EU24" s="52">
        <f>EO12-EO18</f>
        <v>1045.3333333333335</v>
      </c>
      <c r="EV24" s="52">
        <f>EP12-EP18</f>
        <v>0</v>
      </c>
      <c r="EW24" s="52">
        <f>EQ12-EQ18</f>
        <v>0</v>
      </c>
      <c r="EX24" s="52">
        <f>ER12-ER18</f>
        <v>0</v>
      </c>
      <c r="EY24" s="52">
        <f>ES12-ES18</f>
        <v>0</v>
      </c>
      <c r="EZ24" s="52">
        <f>ET12-ET18</f>
        <v>0</v>
      </c>
      <c r="FA24" s="52">
        <f>EU12-EU18</f>
        <v>0</v>
      </c>
      <c r="FB24" s="52">
        <f>EV12-EV18</f>
        <v>1045.3333333333335</v>
      </c>
      <c r="FC24" s="52">
        <f>EW12-EW18</f>
        <v>1045.3333333333335</v>
      </c>
      <c r="FD24" s="52">
        <f>EX12-EX18</f>
        <v>1045.3333333333335</v>
      </c>
      <c r="FE24" s="52">
        <f>EY12-EY18</f>
        <v>1045.3333333333335</v>
      </c>
      <c r="FF24" s="52">
        <f>EZ12-EZ18</f>
        <v>1045.3333333333335</v>
      </c>
      <c r="FG24" s="52">
        <f>FA12-FA18</f>
        <v>1045.3333333333335</v>
      </c>
      <c r="FH24" s="52">
        <f>FB12-FB18</f>
        <v>0</v>
      </c>
      <c r="FI24" s="52">
        <f>FC12-FC18</f>
        <v>0</v>
      </c>
      <c r="FJ24" s="52">
        <f>FD12-FD18</f>
        <v>0</v>
      </c>
      <c r="FK24" s="52">
        <f>FE12-FE18</f>
        <v>0</v>
      </c>
      <c r="FL24" s="52">
        <f>FF12-FF18</f>
        <v>0</v>
      </c>
      <c r="FM24" s="52">
        <f>FG12-FG18</f>
        <v>0</v>
      </c>
      <c r="FN24" s="52">
        <f>FH12-FH18</f>
        <v>1045.3333333333335</v>
      </c>
      <c r="FO24" s="52">
        <f>FI12-FI18</f>
        <v>1045.3333333333335</v>
      </c>
    </row>
    <row r="25" spans="1:171">
      <c r="A25" s="87" t="s">
        <v>152</v>
      </c>
      <c r="B25" s="52">
        <v>0</v>
      </c>
      <c r="C25" s="52">
        <v>0</v>
      </c>
      <c r="D25" s="52">
        <v>0</v>
      </c>
      <c r="E25" s="52">
        <f t="shared" ref="E25" si="207">E6/3</f>
        <v>1045.3333333333333</v>
      </c>
      <c r="F25" s="52">
        <f t="shared" si="204"/>
        <v>1045.3333333333333</v>
      </c>
      <c r="G25" s="52">
        <f t="shared" si="204"/>
        <v>1045.3333333333333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52">
        <f t="shared" si="205"/>
        <v>522.66666666666674</v>
      </c>
      <c r="O25" s="52">
        <f t="shared" si="202"/>
        <v>522.66666666666674</v>
      </c>
      <c r="P25" s="52">
        <f t="shared" si="202"/>
        <v>522.66666666666674</v>
      </c>
      <c r="Q25" s="52">
        <f t="shared" si="202"/>
        <v>522.66666666666674</v>
      </c>
      <c r="R25" s="52">
        <f t="shared" si="202"/>
        <v>522.66666666666674</v>
      </c>
      <c r="S25" s="52">
        <f t="shared" si="202"/>
        <v>522.66666666666674</v>
      </c>
      <c r="T25" s="52">
        <f>N13-N19</f>
        <v>0</v>
      </c>
      <c r="U25" s="52">
        <f>O13-O19</f>
        <v>0</v>
      </c>
      <c r="V25" s="52">
        <f>P13-P19</f>
        <v>0</v>
      </c>
      <c r="W25" s="52">
        <f>Q13-Q19</f>
        <v>0</v>
      </c>
      <c r="X25" s="52">
        <f>R13-R19</f>
        <v>0</v>
      </c>
      <c r="Y25" s="52">
        <f>S13-S19</f>
        <v>0</v>
      </c>
      <c r="Z25" s="52">
        <f>T13-T19</f>
        <v>522.66666666666674</v>
      </c>
      <c r="AA25" s="52">
        <f>U13-U19</f>
        <v>522.66666666666674</v>
      </c>
      <c r="AB25" s="52">
        <f>V13-V19</f>
        <v>522.66666666666674</v>
      </c>
      <c r="AC25" s="52">
        <f>W13-W19</f>
        <v>522.66666666666674</v>
      </c>
      <c r="AD25" s="52">
        <f>X13-X19</f>
        <v>522.66666666666674</v>
      </c>
      <c r="AE25" s="52">
        <f>Y13-Y19</f>
        <v>522.66666666666674</v>
      </c>
      <c r="AF25" s="52">
        <f>Z13-Z19</f>
        <v>0</v>
      </c>
      <c r="AG25" s="52">
        <f>AA13-AA19</f>
        <v>0</v>
      </c>
      <c r="AH25" s="52">
        <f>AB13-AB19</f>
        <v>0</v>
      </c>
      <c r="AI25" s="52">
        <f>AC13-AC19</f>
        <v>0</v>
      </c>
      <c r="AJ25" s="52">
        <f>AD13-AD19</f>
        <v>0</v>
      </c>
      <c r="AK25" s="52">
        <f>AE13-AE19</f>
        <v>0</v>
      </c>
      <c r="AL25" s="52">
        <f>AF13-AF19</f>
        <v>522.66666666666674</v>
      </c>
      <c r="AM25" s="52">
        <f>AG13-AG19</f>
        <v>522.66666666666674</v>
      </c>
      <c r="AN25" s="52">
        <f>AH13-AH19</f>
        <v>522.66666666666674</v>
      </c>
      <c r="AO25" s="52">
        <f>AI13-AI19</f>
        <v>522.66666666666674</v>
      </c>
      <c r="AP25" s="52">
        <f>AJ13-AJ19</f>
        <v>522.66666666666674</v>
      </c>
      <c r="AQ25" s="52">
        <f>AK13-AK19</f>
        <v>522.66666666666674</v>
      </c>
      <c r="AR25" s="52">
        <f>AL13-AL19</f>
        <v>0</v>
      </c>
      <c r="AS25" s="52">
        <f>AM13-AM19</f>
        <v>0</v>
      </c>
      <c r="AT25" s="52">
        <f>AN13-AN19</f>
        <v>0</v>
      </c>
      <c r="AU25" s="52">
        <f>AO13-AO19</f>
        <v>0</v>
      </c>
      <c r="AV25" s="52">
        <f>AP13-AP19</f>
        <v>0</v>
      </c>
      <c r="AW25" s="52">
        <f>AQ13-AQ19</f>
        <v>0</v>
      </c>
      <c r="AX25" s="52">
        <f>AR13-AR19</f>
        <v>522.66666666666674</v>
      </c>
      <c r="AY25" s="52">
        <f>AS13-AS19</f>
        <v>522.66666666666674</v>
      </c>
      <c r="AZ25" s="52">
        <f>AT13-AT19</f>
        <v>522.66666666666674</v>
      </c>
      <c r="BA25" s="52">
        <f>AU13-AU19</f>
        <v>522.66666666666674</v>
      </c>
      <c r="BB25" s="52">
        <f>AV13-AV19</f>
        <v>522.66666666666674</v>
      </c>
      <c r="BC25" s="52">
        <f>AW13-AW19</f>
        <v>522.66666666666674</v>
      </c>
      <c r="BD25" s="52">
        <f>AX13-AX19</f>
        <v>0</v>
      </c>
      <c r="BE25" s="52">
        <f>AY13-AY19</f>
        <v>0</v>
      </c>
      <c r="BF25" s="52">
        <f>AZ13-AZ19</f>
        <v>0</v>
      </c>
      <c r="BG25" s="52">
        <f>BA13-BA19</f>
        <v>0</v>
      </c>
      <c r="BH25" s="52">
        <f>BB13-BB19</f>
        <v>0</v>
      </c>
      <c r="BI25" s="52">
        <f>BC13-BC19</f>
        <v>0</v>
      </c>
      <c r="BJ25" s="52">
        <f>BD13-BD19</f>
        <v>522.66666666666674</v>
      </c>
      <c r="BK25" s="52">
        <f>BE13-BE19</f>
        <v>522.66666666666674</v>
      </c>
      <c r="BL25" s="52">
        <f>BF13-BF19</f>
        <v>522.66666666666674</v>
      </c>
      <c r="BM25" s="52">
        <f>BG13-BG19</f>
        <v>522.66666666666674</v>
      </c>
      <c r="BN25" s="52">
        <f>BH13-BH19</f>
        <v>522.66666666666674</v>
      </c>
      <c r="BO25" s="52">
        <f>BI13-BI19</f>
        <v>522.66666666666674</v>
      </c>
      <c r="BP25" s="52">
        <f>BJ13-BJ19</f>
        <v>0</v>
      </c>
      <c r="BQ25" s="52">
        <f>BK13-BK19</f>
        <v>0</v>
      </c>
      <c r="BR25" s="52">
        <f>BL13-BL19</f>
        <v>0</v>
      </c>
      <c r="BS25" s="52">
        <f>BM13-BM19</f>
        <v>0</v>
      </c>
      <c r="BT25" s="52">
        <f>BN13-BN19</f>
        <v>0</v>
      </c>
      <c r="BU25" s="52">
        <f>BO13-BO19</f>
        <v>0</v>
      </c>
      <c r="BV25" s="52">
        <f>BP13-BP19</f>
        <v>522.66666666666674</v>
      </c>
      <c r="BW25" s="52">
        <f>BQ13-BQ19</f>
        <v>522.66666666666674</v>
      </c>
      <c r="BX25" s="52">
        <f>BR13-BR19</f>
        <v>522.66666666666674</v>
      </c>
      <c r="BY25" s="52">
        <f>BS13-BS19</f>
        <v>522.66666666666674</v>
      </c>
      <c r="BZ25" s="52">
        <f>BT13-BT19</f>
        <v>522.66666666666674</v>
      </c>
      <c r="CA25" s="52">
        <f>BU13-BU19</f>
        <v>522.66666666666674</v>
      </c>
      <c r="CB25" s="52">
        <f>BV13-BV19</f>
        <v>0</v>
      </c>
      <c r="CC25" s="52">
        <f>BW13-BW19</f>
        <v>0</v>
      </c>
      <c r="CD25" s="52">
        <f>BX13-BX19</f>
        <v>0</v>
      </c>
      <c r="CE25" s="52">
        <f>BY13-BY19</f>
        <v>0</v>
      </c>
      <c r="CF25" s="52">
        <f>BZ13-BZ19</f>
        <v>0</v>
      </c>
      <c r="CG25" s="52">
        <f>CA13-CA19</f>
        <v>0</v>
      </c>
      <c r="CH25" s="52">
        <f>CB13-CB19</f>
        <v>522.66666666666674</v>
      </c>
      <c r="CI25" s="52">
        <f>CC13-CC19</f>
        <v>522.66666666666674</v>
      </c>
      <c r="CJ25" s="52">
        <f>CD13-CD19</f>
        <v>522.66666666666674</v>
      </c>
      <c r="CK25" s="52">
        <f>CE13-CE19</f>
        <v>522.66666666666674</v>
      </c>
      <c r="CL25" s="52">
        <f>CF13-CF19</f>
        <v>522.66666666666674</v>
      </c>
      <c r="CM25" s="52">
        <f>CG13-CG19</f>
        <v>522.66666666666674</v>
      </c>
      <c r="CN25" s="52">
        <f>CH13-CH19</f>
        <v>0</v>
      </c>
      <c r="CO25" s="52">
        <f>CI13-CI19</f>
        <v>0</v>
      </c>
      <c r="CP25" s="52">
        <f>CJ13-CJ19</f>
        <v>0</v>
      </c>
      <c r="CQ25" s="52">
        <f>CK13-CK19</f>
        <v>0</v>
      </c>
      <c r="CR25" s="52">
        <f>CL13-CL19</f>
        <v>0</v>
      </c>
      <c r="CS25" s="52">
        <f>CM13-CM19</f>
        <v>0</v>
      </c>
      <c r="CT25" s="52">
        <f>CN13-CN19</f>
        <v>522.66666666666674</v>
      </c>
      <c r="CU25" s="52">
        <f>CO13-CO19</f>
        <v>522.66666666666674</v>
      </c>
      <c r="CV25" s="52">
        <f>CP13-CP19</f>
        <v>522.66666666666674</v>
      </c>
      <c r="CW25" s="52">
        <f>CQ13-CQ19</f>
        <v>522.66666666666674</v>
      </c>
      <c r="CX25" s="52">
        <f>CR13-CR19</f>
        <v>522.66666666666674</v>
      </c>
      <c r="CY25" s="52">
        <f>CS13-CS19</f>
        <v>522.66666666666674</v>
      </c>
      <c r="CZ25" s="52">
        <f>CT13-CT19</f>
        <v>0</v>
      </c>
      <c r="DA25" s="52">
        <f>CU13-CU19</f>
        <v>0</v>
      </c>
      <c r="DB25" s="52">
        <f>CV13-CV19</f>
        <v>0</v>
      </c>
      <c r="DC25" s="52">
        <f>CW13-CW19</f>
        <v>0</v>
      </c>
      <c r="DD25" s="52">
        <f>CX13-CX19</f>
        <v>0</v>
      </c>
      <c r="DE25" s="52">
        <f>CY13-CY19</f>
        <v>0</v>
      </c>
      <c r="DF25" s="52">
        <f>CZ13-CZ19</f>
        <v>522.66666666666674</v>
      </c>
      <c r="DG25" s="52">
        <f>DA13-DA19</f>
        <v>522.66666666666674</v>
      </c>
      <c r="DH25" s="52">
        <f>DB13-DB19</f>
        <v>522.66666666666674</v>
      </c>
      <c r="DI25" s="52">
        <f>DC13-DC19</f>
        <v>522.66666666666674</v>
      </c>
      <c r="DJ25" s="52">
        <f>DD13-DD19</f>
        <v>522.66666666666674</v>
      </c>
      <c r="DK25" s="52">
        <f>DE13-DE19</f>
        <v>522.66666666666674</v>
      </c>
      <c r="DL25" s="52">
        <f>DF13-DF19</f>
        <v>0</v>
      </c>
      <c r="DM25" s="52">
        <f>DG13-DG19</f>
        <v>0</v>
      </c>
      <c r="DN25" s="52">
        <f>DH13-DH19</f>
        <v>0</v>
      </c>
      <c r="DO25" s="52">
        <f>DI13-DI19</f>
        <v>0</v>
      </c>
      <c r="DP25" s="52">
        <f>DJ13-DJ19</f>
        <v>0</v>
      </c>
      <c r="DQ25" s="52">
        <f>DK13-DK19</f>
        <v>0</v>
      </c>
      <c r="DR25" s="52">
        <f>DL13-DL19</f>
        <v>522.66666666666674</v>
      </c>
      <c r="DS25" s="52">
        <f>DM13-DM19</f>
        <v>522.66666666666674</v>
      </c>
      <c r="DT25" s="52">
        <f>DN13-DN19</f>
        <v>522.66666666666674</v>
      </c>
      <c r="DU25" s="52">
        <f>DO13-DO19</f>
        <v>522.66666666666674</v>
      </c>
      <c r="DV25" s="52">
        <f>DP13-DP19</f>
        <v>522.66666666666674</v>
      </c>
      <c r="DW25" s="52">
        <f>DQ13-DQ19</f>
        <v>522.66666666666674</v>
      </c>
      <c r="DX25" s="52">
        <f>DR13-DR19</f>
        <v>0</v>
      </c>
      <c r="DY25" s="52">
        <f>DS13-DS19</f>
        <v>0</v>
      </c>
      <c r="DZ25" s="52">
        <f>DT13-DT19</f>
        <v>0</v>
      </c>
      <c r="EA25" s="52">
        <f>DU13-DU19</f>
        <v>0</v>
      </c>
      <c r="EB25" s="52">
        <f>DV13-DV19</f>
        <v>0</v>
      </c>
      <c r="EC25" s="52">
        <f>DW13-DW19</f>
        <v>0</v>
      </c>
      <c r="ED25" s="52">
        <f>DX13-DX19</f>
        <v>522.66666666666674</v>
      </c>
      <c r="EE25" s="52">
        <f>DY13-DY19</f>
        <v>522.66666666666674</v>
      </c>
      <c r="EF25" s="52">
        <f>DZ13-DZ19</f>
        <v>522.66666666666674</v>
      </c>
      <c r="EG25" s="52">
        <f>EA13-EA19</f>
        <v>522.66666666666674</v>
      </c>
      <c r="EH25" s="52">
        <f>EB13-EB19</f>
        <v>522.66666666666674</v>
      </c>
      <c r="EI25" s="52">
        <f>EC13-EC19</f>
        <v>522.66666666666674</v>
      </c>
      <c r="EJ25" s="52">
        <f>ED13-ED19</f>
        <v>0</v>
      </c>
      <c r="EK25" s="52">
        <f>EE13-EE19</f>
        <v>0</v>
      </c>
      <c r="EL25" s="52">
        <f>EF13-EF19</f>
        <v>0</v>
      </c>
      <c r="EM25" s="52">
        <f>EG13-EG19</f>
        <v>0</v>
      </c>
      <c r="EN25" s="52">
        <f>EH13-EH19</f>
        <v>0</v>
      </c>
      <c r="EO25" s="52">
        <f>EI13-EI19</f>
        <v>0</v>
      </c>
      <c r="EP25" s="52">
        <f>EJ13-EJ19</f>
        <v>522.66666666666674</v>
      </c>
      <c r="EQ25" s="52">
        <f>EK13-EK19</f>
        <v>522.66666666666674</v>
      </c>
      <c r="ER25" s="52">
        <f>EL13-EL19</f>
        <v>522.66666666666674</v>
      </c>
      <c r="ES25" s="52">
        <f>EM13-EM19</f>
        <v>522.66666666666674</v>
      </c>
      <c r="ET25" s="52">
        <f>EN13-EN19</f>
        <v>522.66666666666674</v>
      </c>
      <c r="EU25" s="52">
        <f>EO13-EO19</f>
        <v>522.66666666666674</v>
      </c>
      <c r="EV25" s="52">
        <f>EP13-EP19</f>
        <v>0</v>
      </c>
      <c r="EW25" s="52">
        <f>EQ13-EQ19</f>
        <v>0</v>
      </c>
      <c r="EX25" s="52">
        <f>ER13-ER19</f>
        <v>0</v>
      </c>
      <c r="EY25" s="52">
        <f>ES13-ES19</f>
        <v>0</v>
      </c>
      <c r="EZ25" s="52">
        <f>ET13-ET19</f>
        <v>0</v>
      </c>
      <c r="FA25" s="52">
        <f>EU13-EU19</f>
        <v>0</v>
      </c>
      <c r="FB25" s="52">
        <f>EV13-EV19</f>
        <v>522.66666666666674</v>
      </c>
      <c r="FC25" s="52">
        <f>EW13-EW19</f>
        <v>522.66666666666674</v>
      </c>
      <c r="FD25" s="52">
        <f>EX13-EX19</f>
        <v>522.66666666666674</v>
      </c>
      <c r="FE25" s="52">
        <f>EY13-EY19</f>
        <v>522.66666666666674</v>
      </c>
      <c r="FF25" s="52">
        <f>EZ13-EZ19</f>
        <v>522.66666666666674</v>
      </c>
      <c r="FG25" s="52">
        <f>FA13-FA19</f>
        <v>522.66666666666674</v>
      </c>
      <c r="FH25" s="52">
        <f>FB13-FB19</f>
        <v>0</v>
      </c>
      <c r="FI25" s="52">
        <f>FC13-FC19</f>
        <v>0</v>
      </c>
      <c r="FJ25" s="52">
        <f>FD13-FD19</f>
        <v>0</v>
      </c>
      <c r="FK25" s="52">
        <f>FE13-FE19</f>
        <v>0</v>
      </c>
      <c r="FL25" s="52">
        <f>FF13-FF19</f>
        <v>0</v>
      </c>
      <c r="FM25" s="52">
        <f>FG13-FG19</f>
        <v>0</v>
      </c>
      <c r="FN25" s="52">
        <f>FH13-FH19</f>
        <v>522.66666666666674</v>
      </c>
      <c r="FO25" s="52">
        <f>FI13-FI19</f>
        <v>522.66666666666674</v>
      </c>
    </row>
    <row r="26" spans="1:171">
      <c r="A26" s="87" t="s">
        <v>157</v>
      </c>
      <c r="B26" s="52">
        <f t="shared" ref="B26" si="208">SUM(B22:B25)</f>
        <v>0</v>
      </c>
      <c r="C26" s="52">
        <f t="shared" ref="C26" si="209">SUM(C22:C25)</f>
        <v>0</v>
      </c>
      <c r="D26" s="52">
        <f t="shared" ref="D26" si="210">SUM(D22:D25)</f>
        <v>0</v>
      </c>
      <c r="E26" s="52">
        <f t="shared" ref="E26:G26" si="211">SUM(E22:E25)</f>
        <v>13066.666666666666</v>
      </c>
      <c r="F26" s="52">
        <f t="shared" si="211"/>
        <v>13066.666666666666</v>
      </c>
      <c r="G26" s="52">
        <f t="shared" si="211"/>
        <v>13066.666666666666</v>
      </c>
      <c r="H26" s="52">
        <f t="shared" ref="H26" si="212">SUM(H22:H25)</f>
        <v>0</v>
      </c>
      <c r="I26" s="52">
        <f t="shared" ref="I26" si="213">SUM(I22:I25)</f>
        <v>0</v>
      </c>
      <c r="J26" s="52">
        <f t="shared" ref="J26" si="214">SUM(J22:J25)</f>
        <v>0</v>
      </c>
      <c r="K26" s="52">
        <f t="shared" ref="K26" si="215">SUM(K22:K25)</f>
        <v>0</v>
      </c>
      <c r="L26" s="52">
        <f t="shared" ref="L26" si="216">SUM(L22:L25)</f>
        <v>0</v>
      </c>
      <c r="M26" s="52">
        <f t="shared" ref="M26:N26" si="217">SUM(M22:M25)</f>
        <v>0</v>
      </c>
      <c r="N26" s="52">
        <f t="shared" si="217"/>
        <v>6533.3333333333348</v>
      </c>
      <c r="O26" s="52">
        <f t="shared" ref="O26:AG26" si="218">SUM(O22:O25)</f>
        <v>6533.3333333333348</v>
      </c>
      <c r="P26" s="52">
        <f t="shared" si="218"/>
        <v>6533.3333333333348</v>
      </c>
      <c r="Q26" s="52">
        <f t="shared" si="218"/>
        <v>6533.3333333333348</v>
      </c>
      <c r="R26" s="52">
        <f t="shared" si="218"/>
        <v>6533.3333333333348</v>
      </c>
      <c r="S26" s="52">
        <f t="shared" si="218"/>
        <v>6533.3333333333348</v>
      </c>
      <c r="T26" s="52">
        <f t="shared" si="218"/>
        <v>0</v>
      </c>
      <c r="U26" s="52">
        <f t="shared" si="218"/>
        <v>0</v>
      </c>
      <c r="V26" s="52">
        <f t="shared" si="218"/>
        <v>0</v>
      </c>
      <c r="W26" s="52">
        <f t="shared" si="218"/>
        <v>0</v>
      </c>
      <c r="X26" s="52">
        <f t="shared" si="218"/>
        <v>0</v>
      </c>
      <c r="Y26" s="52">
        <f t="shared" si="218"/>
        <v>0</v>
      </c>
      <c r="Z26" s="52">
        <f t="shared" si="218"/>
        <v>6533.3333333333348</v>
      </c>
      <c r="AA26" s="52">
        <f t="shared" si="218"/>
        <v>6533.3333333333348</v>
      </c>
      <c r="AB26" s="52">
        <f t="shared" si="218"/>
        <v>6533.3333333333348</v>
      </c>
      <c r="AC26" s="52">
        <f t="shared" si="218"/>
        <v>6533.3333333333348</v>
      </c>
      <c r="AD26" s="52">
        <f t="shared" si="218"/>
        <v>6533.3333333333348</v>
      </c>
      <c r="AE26" s="52">
        <f t="shared" si="218"/>
        <v>6533.3333333333348</v>
      </c>
      <c r="AF26" s="52">
        <f t="shared" si="218"/>
        <v>0</v>
      </c>
      <c r="AG26" s="52">
        <f t="shared" si="218"/>
        <v>0</v>
      </c>
      <c r="AH26" s="52">
        <f t="shared" ref="AH26:BM26" si="219">SUM(AH22:AH25)</f>
        <v>0</v>
      </c>
      <c r="AI26" s="52">
        <f t="shared" si="219"/>
        <v>0</v>
      </c>
      <c r="AJ26" s="52">
        <f t="shared" si="219"/>
        <v>0</v>
      </c>
      <c r="AK26" s="52">
        <f t="shared" si="219"/>
        <v>0</v>
      </c>
      <c r="AL26" s="52">
        <f t="shared" si="219"/>
        <v>6533.3333333333348</v>
      </c>
      <c r="AM26" s="52">
        <f t="shared" si="219"/>
        <v>6533.3333333333348</v>
      </c>
      <c r="AN26" s="52">
        <f t="shared" si="219"/>
        <v>6533.3333333333348</v>
      </c>
      <c r="AO26" s="52">
        <f t="shared" si="219"/>
        <v>6533.3333333333348</v>
      </c>
      <c r="AP26" s="52">
        <f t="shared" si="219"/>
        <v>6533.3333333333348</v>
      </c>
      <c r="AQ26" s="52">
        <f t="shared" si="219"/>
        <v>6533.3333333333348</v>
      </c>
      <c r="AR26" s="52">
        <f t="shared" si="219"/>
        <v>0</v>
      </c>
      <c r="AS26" s="52">
        <f t="shared" si="219"/>
        <v>0</v>
      </c>
      <c r="AT26" s="52">
        <f t="shared" si="219"/>
        <v>0</v>
      </c>
      <c r="AU26" s="52">
        <f t="shared" si="219"/>
        <v>0</v>
      </c>
      <c r="AV26" s="52">
        <f t="shared" si="219"/>
        <v>0</v>
      </c>
      <c r="AW26" s="52">
        <f t="shared" si="219"/>
        <v>0</v>
      </c>
      <c r="AX26" s="52">
        <f t="shared" si="219"/>
        <v>6533.3333333333348</v>
      </c>
      <c r="AY26" s="52">
        <f t="shared" si="219"/>
        <v>6533.3333333333348</v>
      </c>
      <c r="AZ26" s="52">
        <f t="shared" si="219"/>
        <v>6533.3333333333348</v>
      </c>
      <c r="BA26" s="52">
        <f t="shared" si="219"/>
        <v>6533.3333333333348</v>
      </c>
      <c r="BB26" s="52">
        <f t="shared" si="219"/>
        <v>6533.3333333333348</v>
      </c>
      <c r="BC26" s="52">
        <f t="shared" si="219"/>
        <v>6533.3333333333348</v>
      </c>
      <c r="BD26" s="52">
        <f t="shared" si="219"/>
        <v>0</v>
      </c>
      <c r="BE26" s="52">
        <f t="shared" si="219"/>
        <v>0</v>
      </c>
      <c r="BF26" s="52">
        <f t="shared" si="219"/>
        <v>0</v>
      </c>
      <c r="BG26" s="52">
        <f t="shared" si="219"/>
        <v>0</v>
      </c>
      <c r="BH26" s="52">
        <f t="shared" si="219"/>
        <v>0</v>
      </c>
      <c r="BI26" s="52">
        <f t="shared" si="219"/>
        <v>0</v>
      </c>
      <c r="BJ26" s="52">
        <f t="shared" si="219"/>
        <v>6533.3333333333348</v>
      </c>
      <c r="BK26" s="52">
        <f t="shared" si="219"/>
        <v>6533.3333333333348</v>
      </c>
      <c r="BL26" s="52">
        <f t="shared" si="219"/>
        <v>6533.3333333333348</v>
      </c>
      <c r="BM26" s="52">
        <f t="shared" si="219"/>
        <v>6533.3333333333348</v>
      </c>
      <c r="BN26" s="52">
        <f t="shared" ref="BN26:CS26" si="220">SUM(BN22:BN25)</f>
        <v>6533.3333333333348</v>
      </c>
      <c r="BO26" s="52">
        <f t="shared" si="220"/>
        <v>6533.3333333333348</v>
      </c>
      <c r="BP26" s="52">
        <f t="shared" si="220"/>
        <v>0</v>
      </c>
      <c r="BQ26" s="52">
        <f t="shared" si="220"/>
        <v>0</v>
      </c>
      <c r="BR26" s="52">
        <f t="shared" si="220"/>
        <v>0</v>
      </c>
      <c r="BS26" s="52">
        <f t="shared" si="220"/>
        <v>0</v>
      </c>
      <c r="BT26" s="52">
        <f t="shared" si="220"/>
        <v>0</v>
      </c>
      <c r="BU26" s="52">
        <f t="shared" si="220"/>
        <v>0</v>
      </c>
      <c r="BV26" s="52">
        <f t="shared" si="220"/>
        <v>6533.3333333333348</v>
      </c>
      <c r="BW26" s="52">
        <f t="shared" si="220"/>
        <v>6533.3333333333348</v>
      </c>
      <c r="BX26" s="52">
        <f t="shared" si="220"/>
        <v>6533.3333333333348</v>
      </c>
      <c r="BY26" s="52">
        <f t="shared" si="220"/>
        <v>6533.3333333333348</v>
      </c>
      <c r="BZ26" s="52">
        <f t="shared" si="220"/>
        <v>6533.3333333333348</v>
      </c>
      <c r="CA26" s="52">
        <f t="shared" si="220"/>
        <v>6533.3333333333348</v>
      </c>
      <c r="CB26" s="52">
        <f t="shared" si="220"/>
        <v>0</v>
      </c>
      <c r="CC26" s="52">
        <f t="shared" si="220"/>
        <v>0</v>
      </c>
      <c r="CD26" s="52">
        <f t="shared" si="220"/>
        <v>0</v>
      </c>
      <c r="CE26" s="52">
        <f t="shared" si="220"/>
        <v>0</v>
      </c>
      <c r="CF26" s="52">
        <f t="shared" si="220"/>
        <v>0</v>
      </c>
      <c r="CG26" s="52">
        <f t="shared" si="220"/>
        <v>0</v>
      </c>
      <c r="CH26" s="52">
        <f t="shared" si="220"/>
        <v>6533.3333333333348</v>
      </c>
      <c r="CI26" s="52">
        <f t="shared" si="220"/>
        <v>6533.3333333333348</v>
      </c>
      <c r="CJ26" s="52">
        <f t="shared" si="220"/>
        <v>6533.3333333333348</v>
      </c>
      <c r="CK26" s="52">
        <f t="shared" si="220"/>
        <v>6533.3333333333348</v>
      </c>
      <c r="CL26" s="52">
        <f t="shared" si="220"/>
        <v>6533.3333333333348</v>
      </c>
      <c r="CM26" s="52">
        <f t="shared" si="220"/>
        <v>6533.3333333333348</v>
      </c>
      <c r="CN26" s="52">
        <f t="shared" si="220"/>
        <v>0</v>
      </c>
      <c r="CO26" s="52">
        <f t="shared" si="220"/>
        <v>0</v>
      </c>
      <c r="CP26" s="52">
        <f t="shared" si="220"/>
        <v>0</v>
      </c>
      <c r="CQ26" s="52">
        <f t="shared" si="220"/>
        <v>0</v>
      </c>
      <c r="CR26" s="52">
        <f t="shared" si="220"/>
        <v>0</v>
      </c>
      <c r="CS26" s="52">
        <f t="shared" si="220"/>
        <v>0</v>
      </c>
      <c r="CT26" s="52">
        <f t="shared" ref="CT26:DI26" si="221">SUM(CT22:CT25)</f>
        <v>6533.3333333333348</v>
      </c>
      <c r="CU26" s="52">
        <f t="shared" si="221"/>
        <v>6533.3333333333348</v>
      </c>
      <c r="CV26" s="52">
        <f t="shared" si="221"/>
        <v>6533.3333333333348</v>
      </c>
      <c r="CW26" s="52">
        <f t="shared" si="221"/>
        <v>6533.3333333333348</v>
      </c>
      <c r="CX26" s="52">
        <f t="shared" si="221"/>
        <v>6533.3333333333348</v>
      </c>
      <c r="CY26" s="52">
        <f t="shared" si="221"/>
        <v>6533.3333333333348</v>
      </c>
      <c r="CZ26" s="52">
        <f t="shared" si="221"/>
        <v>0</v>
      </c>
      <c r="DA26" s="52">
        <f t="shared" si="221"/>
        <v>0</v>
      </c>
      <c r="DB26" s="52">
        <f t="shared" si="221"/>
        <v>0</v>
      </c>
      <c r="DC26" s="52">
        <f t="shared" si="221"/>
        <v>0</v>
      </c>
      <c r="DD26" s="52">
        <f t="shared" si="221"/>
        <v>0</v>
      </c>
      <c r="DE26" s="52">
        <f t="shared" si="221"/>
        <v>0</v>
      </c>
      <c r="DF26" s="52">
        <f t="shared" si="221"/>
        <v>6533.3333333333348</v>
      </c>
      <c r="DG26" s="52">
        <f t="shared" si="221"/>
        <v>6533.3333333333348</v>
      </c>
      <c r="DH26" s="52">
        <f t="shared" si="221"/>
        <v>6533.3333333333348</v>
      </c>
      <c r="DI26" s="52">
        <f t="shared" si="221"/>
        <v>6533.3333333333348</v>
      </c>
      <c r="DJ26" s="52">
        <f t="shared" ref="DJ26:EW26" si="222">SUM(DJ22:DJ25)</f>
        <v>6533.3333333333348</v>
      </c>
      <c r="DK26" s="52">
        <f t="shared" si="222"/>
        <v>6533.3333333333348</v>
      </c>
      <c r="DL26" s="52">
        <f t="shared" si="222"/>
        <v>0</v>
      </c>
      <c r="DM26" s="52">
        <f>SUM(DM22:DM25)</f>
        <v>0</v>
      </c>
      <c r="DN26" s="52">
        <f t="shared" si="222"/>
        <v>0</v>
      </c>
      <c r="DO26" s="52">
        <f t="shared" si="222"/>
        <v>0</v>
      </c>
      <c r="DP26" s="52">
        <f>SUM(DP22:DP25)</f>
        <v>0</v>
      </c>
      <c r="DQ26" s="52">
        <f t="shared" si="222"/>
        <v>0</v>
      </c>
      <c r="DR26" s="52">
        <f t="shared" si="222"/>
        <v>6533.3333333333348</v>
      </c>
      <c r="DS26" s="52">
        <f>SUM(DS22:DS25)</f>
        <v>6533.3333333333348</v>
      </c>
      <c r="DT26" s="52">
        <f t="shared" si="222"/>
        <v>6533.3333333333348</v>
      </c>
      <c r="DU26" s="52">
        <f t="shared" si="222"/>
        <v>6533.3333333333348</v>
      </c>
      <c r="DV26" s="52">
        <f>SUM(DV22:DV25)</f>
        <v>6533.3333333333348</v>
      </c>
      <c r="DW26" s="52">
        <f t="shared" si="222"/>
        <v>6533.3333333333348</v>
      </c>
      <c r="DX26" s="52">
        <f t="shared" si="222"/>
        <v>0</v>
      </c>
      <c r="DY26" s="52">
        <f>SUM(DY22:DY25)</f>
        <v>0</v>
      </c>
      <c r="DZ26" s="52">
        <f t="shared" si="222"/>
        <v>0</v>
      </c>
      <c r="EA26" s="52">
        <f t="shared" si="222"/>
        <v>0</v>
      </c>
      <c r="EB26" s="52">
        <f>SUM(EB22:EB25)</f>
        <v>0</v>
      </c>
      <c r="EC26" s="52">
        <f t="shared" si="222"/>
        <v>0</v>
      </c>
      <c r="ED26" s="52">
        <f t="shared" si="222"/>
        <v>6533.3333333333348</v>
      </c>
      <c r="EE26" s="52">
        <f>SUM(EE22:EE25)</f>
        <v>6533.3333333333348</v>
      </c>
      <c r="EF26" s="52">
        <f t="shared" si="222"/>
        <v>6533.3333333333348</v>
      </c>
      <c r="EG26" s="52">
        <f t="shared" si="222"/>
        <v>6533.3333333333348</v>
      </c>
      <c r="EH26" s="52">
        <f>SUM(EH22:EH25)</f>
        <v>6533.3333333333348</v>
      </c>
      <c r="EI26" s="52">
        <f t="shared" si="222"/>
        <v>6533.3333333333348</v>
      </c>
      <c r="EJ26" s="52">
        <f t="shared" si="222"/>
        <v>0</v>
      </c>
      <c r="EK26" s="52">
        <f>SUM(EK22:EK25)</f>
        <v>0</v>
      </c>
      <c r="EL26" s="52">
        <f t="shared" si="222"/>
        <v>0</v>
      </c>
      <c r="EM26" s="52">
        <f t="shared" si="222"/>
        <v>0</v>
      </c>
      <c r="EN26" s="52">
        <f>SUM(EN22:EN25)</f>
        <v>0</v>
      </c>
      <c r="EO26" s="52">
        <f t="shared" si="222"/>
        <v>0</v>
      </c>
      <c r="EP26" s="52">
        <f t="shared" si="222"/>
        <v>6533.3333333333348</v>
      </c>
      <c r="EQ26" s="52">
        <f>SUM(EQ22:EQ25)</f>
        <v>6533.3333333333348</v>
      </c>
      <c r="ER26" s="52">
        <f t="shared" si="222"/>
        <v>6533.3333333333348</v>
      </c>
      <c r="ES26" s="52">
        <f t="shared" si="222"/>
        <v>6533.3333333333348</v>
      </c>
      <c r="ET26" s="52">
        <f>SUM(ET22:ET25)</f>
        <v>6533.3333333333348</v>
      </c>
      <c r="EU26" s="52">
        <f t="shared" si="222"/>
        <v>6533.3333333333348</v>
      </c>
      <c r="EV26" s="52">
        <f t="shared" si="222"/>
        <v>0</v>
      </c>
      <c r="EW26" s="52">
        <f t="shared" si="222"/>
        <v>0</v>
      </c>
      <c r="EX26" s="52">
        <f t="shared" ref="EX26:FO26" si="223">SUM(EX22:EX25)</f>
        <v>0</v>
      </c>
      <c r="EY26" s="52">
        <f t="shared" si="223"/>
        <v>0</v>
      </c>
      <c r="EZ26" s="52">
        <f t="shared" si="223"/>
        <v>0</v>
      </c>
      <c r="FA26" s="52">
        <f t="shared" si="223"/>
        <v>0</v>
      </c>
      <c r="FB26" s="52">
        <f t="shared" si="223"/>
        <v>6533.3333333333348</v>
      </c>
      <c r="FC26" s="52">
        <f t="shared" si="223"/>
        <v>6533.3333333333348</v>
      </c>
      <c r="FD26" s="52">
        <f t="shared" si="223"/>
        <v>6533.3333333333348</v>
      </c>
      <c r="FE26" s="52">
        <f t="shared" si="223"/>
        <v>6533.3333333333348</v>
      </c>
      <c r="FF26" s="52">
        <f t="shared" si="223"/>
        <v>6533.3333333333348</v>
      </c>
      <c r="FG26" s="52">
        <f t="shared" si="223"/>
        <v>6533.3333333333348</v>
      </c>
      <c r="FH26" s="52">
        <f t="shared" si="223"/>
        <v>0</v>
      </c>
      <c r="FI26" s="52">
        <f t="shared" si="223"/>
        <v>0</v>
      </c>
      <c r="FJ26" s="52">
        <f t="shared" si="223"/>
        <v>0</v>
      </c>
      <c r="FK26" s="52">
        <f t="shared" si="223"/>
        <v>0</v>
      </c>
      <c r="FL26" s="52">
        <f t="shared" si="223"/>
        <v>0</v>
      </c>
      <c r="FM26" s="52">
        <f t="shared" si="223"/>
        <v>0</v>
      </c>
      <c r="FN26" s="52">
        <f t="shared" si="223"/>
        <v>6533.3333333333348</v>
      </c>
      <c r="FO26" s="52">
        <f t="shared" si="223"/>
        <v>6533.3333333333348</v>
      </c>
    </row>
    <row r="28" spans="1:171">
      <c r="A28" s="87" t="s">
        <v>153</v>
      </c>
      <c r="B28" s="16">
        <f>B3+B10-B16-B22</f>
        <v>7840</v>
      </c>
      <c r="C28" s="16">
        <f>C3+C10-C16-C22</f>
        <v>15680</v>
      </c>
      <c r="D28" s="16">
        <f t="shared" ref="D28:BO28" si="224">D3+D10-D16-D22</f>
        <v>23520</v>
      </c>
      <c r="E28" s="16">
        <f t="shared" si="224"/>
        <v>15680</v>
      </c>
      <c r="F28" s="16">
        <f t="shared" si="224"/>
        <v>7840</v>
      </c>
      <c r="G28" s="16">
        <f t="shared" si="224"/>
        <v>0</v>
      </c>
      <c r="H28" s="16">
        <f t="shared" si="224"/>
        <v>3920</v>
      </c>
      <c r="I28" s="16">
        <f t="shared" si="224"/>
        <v>7840</v>
      </c>
      <c r="J28" s="16">
        <f t="shared" si="224"/>
        <v>11760</v>
      </c>
      <c r="K28" s="16">
        <f t="shared" si="224"/>
        <v>15680</v>
      </c>
      <c r="L28" s="16">
        <f t="shared" si="224"/>
        <v>19600</v>
      </c>
      <c r="M28" s="16">
        <f t="shared" si="224"/>
        <v>23520</v>
      </c>
      <c r="N28" s="16">
        <f t="shared" si="224"/>
        <v>19600</v>
      </c>
      <c r="O28" s="16">
        <f t="shared" si="224"/>
        <v>15680</v>
      </c>
      <c r="P28" s="16">
        <f t="shared" si="224"/>
        <v>11760</v>
      </c>
      <c r="Q28" s="16">
        <f t="shared" si="224"/>
        <v>7840</v>
      </c>
      <c r="R28" s="16">
        <f t="shared" si="224"/>
        <v>3920</v>
      </c>
      <c r="S28" s="16">
        <f t="shared" si="224"/>
        <v>0</v>
      </c>
      <c r="T28" s="16">
        <f t="shared" si="224"/>
        <v>3920</v>
      </c>
      <c r="U28" s="16">
        <f t="shared" si="224"/>
        <v>7840</v>
      </c>
      <c r="V28" s="16">
        <f t="shared" si="224"/>
        <v>11760</v>
      </c>
      <c r="W28" s="16">
        <f t="shared" si="224"/>
        <v>15680</v>
      </c>
      <c r="X28" s="16">
        <f t="shared" si="224"/>
        <v>19600</v>
      </c>
      <c r="Y28" s="16">
        <f t="shared" si="224"/>
        <v>23520</v>
      </c>
      <c r="Z28" s="16">
        <f t="shared" si="224"/>
        <v>19600</v>
      </c>
      <c r="AA28" s="16">
        <f t="shared" si="224"/>
        <v>15680</v>
      </c>
      <c r="AB28" s="16">
        <f t="shared" si="224"/>
        <v>11760</v>
      </c>
      <c r="AC28" s="16">
        <f t="shared" si="224"/>
        <v>7840</v>
      </c>
      <c r="AD28" s="16">
        <f t="shared" si="224"/>
        <v>3920</v>
      </c>
      <c r="AE28" s="16">
        <f t="shared" si="224"/>
        <v>0</v>
      </c>
      <c r="AF28" s="16">
        <f t="shared" si="224"/>
        <v>3920</v>
      </c>
      <c r="AG28" s="16">
        <f t="shared" si="224"/>
        <v>7840</v>
      </c>
      <c r="AH28" s="16">
        <f t="shared" si="224"/>
        <v>11760</v>
      </c>
      <c r="AI28" s="16">
        <f t="shared" si="224"/>
        <v>15680</v>
      </c>
      <c r="AJ28" s="16">
        <f t="shared" si="224"/>
        <v>19600</v>
      </c>
      <c r="AK28" s="16">
        <f t="shared" si="224"/>
        <v>23520</v>
      </c>
      <c r="AL28" s="16">
        <f t="shared" si="224"/>
        <v>19600</v>
      </c>
      <c r="AM28" s="16">
        <f t="shared" si="224"/>
        <v>15680</v>
      </c>
      <c r="AN28" s="16">
        <f t="shared" si="224"/>
        <v>11760</v>
      </c>
      <c r="AO28" s="16">
        <f t="shared" si="224"/>
        <v>7840</v>
      </c>
      <c r="AP28" s="16">
        <f t="shared" si="224"/>
        <v>3920</v>
      </c>
      <c r="AQ28" s="16">
        <f t="shared" si="224"/>
        <v>0</v>
      </c>
      <c r="AR28" s="16">
        <f t="shared" si="224"/>
        <v>3920</v>
      </c>
      <c r="AS28" s="16">
        <f t="shared" si="224"/>
        <v>7840</v>
      </c>
      <c r="AT28" s="16">
        <f t="shared" si="224"/>
        <v>11760</v>
      </c>
      <c r="AU28" s="16">
        <f t="shared" si="224"/>
        <v>15680</v>
      </c>
      <c r="AV28" s="16">
        <f t="shared" si="224"/>
        <v>19600</v>
      </c>
      <c r="AW28" s="16">
        <f t="shared" si="224"/>
        <v>23520</v>
      </c>
      <c r="AX28" s="16">
        <f t="shared" si="224"/>
        <v>19600</v>
      </c>
      <c r="AY28" s="16">
        <f t="shared" si="224"/>
        <v>15680</v>
      </c>
      <c r="AZ28" s="16">
        <f t="shared" si="224"/>
        <v>11760</v>
      </c>
      <c r="BA28" s="16">
        <f t="shared" si="224"/>
        <v>7840</v>
      </c>
      <c r="BB28" s="16">
        <f t="shared" si="224"/>
        <v>3920</v>
      </c>
      <c r="BC28" s="16">
        <f t="shared" si="224"/>
        <v>0</v>
      </c>
      <c r="BD28" s="16">
        <f t="shared" si="224"/>
        <v>3920</v>
      </c>
      <c r="BE28" s="16">
        <f t="shared" si="224"/>
        <v>7840</v>
      </c>
      <c r="BF28" s="16">
        <f t="shared" si="224"/>
        <v>11760</v>
      </c>
      <c r="BG28" s="16">
        <f t="shared" si="224"/>
        <v>15680</v>
      </c>
      <c r="BH28" s="16">
        <f t="shared" si="224"/>
        <v>19600</v>
      </c>
      <c r="BI28" s="16">
        <f t="shared" si="224"/>
        <v>23520</v>
      </c>
      <c r="BJ28" s="16">
        <f t="shared" si="224"/>
        <v>19600</v>
      </c>
      <c r="BK28" s="16">
        <f t="shared" si="224"/>
        <v>15680</v>
      </c>
      <c r="BL28" s="16">
        <f t="shared" si="224"/>
        <v>11760</v>
      </c>
      <c r="BM28" s="16">
        <f t="shared" si="224"/>
        <v>7840</v>
      </c>
      <c r="BN28" s="16">
        <f t="shared" si="224"/>
        <v>3920</v>
      </c>
      <c r="BO28" s="16">
        <f t="shared" si="224"/>
        <v>0</v>
      </c>
      <c r="BP28" s="16">
        <f t="shared" ref="BP28:EA28" si="225">BP3+BP10-BP16-BP22</f>
        <v>3920</v>
      </c>
      <c r="BQ28" s="16">
        <f t="shared" si="225"/>
        <v>7840</v>
      </c>
      <c r="BR28" s="16">
        <f t="shared" si="225"/>
        <v>11760</v>
      </c>
      <c r="BS28" s="16">
        <f t="shared" si="225"/>
        <v>15680</v>
      </c>
      <c r="BT28" s="16">
        <f t="shared" si="225"/>
        <v>19600</v>
      </c>
      <c r="BU28" s="16">
        <f t="shared" si="225"/>
        <v>23520</v>
      </c>
      <c r="BV28" s="16">
        <f t="shared" si="225"/>
        <v>19600</v>
      </c>
      <c r="BW28" s="16">
        <f t="shared" si="225"/>
        <v>15680</v>
      </c>
      <c r="BX28" s="16">
        <f t="shared" si="225"/>
        <v>11760</v>
      </c>
      <c r="BY28" s="16">
        <f t="shared" si="225"/>
        <v>7840</v>
      </c>
      <c r="BZ28" s="16">
        <f t="shared" si="225"/>
        <v>3920</v>
      </c>
      <c r="CA28" s="16">
        <f t="shared" si="225"/>
        <v>0</v>
      </c>
      <c r="CB28" s="16">
        <f t="shared" si="225"/>
        <v>3920</v>
      </c>
      <c r="CC28" s="16">
        <f t="shared" si="225"/>
        <v>7840</v>
      </c>
      <c r="CD28" s="16">
        <f t="shared" si="225"/>
        <v>11760</v>
      </c>
      <c r="CE28" s="16">
        <f t="shared" si="225"/>
        <v>15680</v>
      </c>
      <c r="CF28" s="16">
        <f t="shared" si="225"/>
        <v>19600</v>
      </c>
      <c r="CG28" s="16">
        <f t="shared" si="225"/>
        <v>23520</v>
      </c>
      <c r="CH28" s="16">
        <f t="shared" si="225"/>
        <v>19600</v>
      </c>
      <c r="CI28" s="16">
        <f t="shared" si="225"/>
        <v>15680</v>
      </c>
      <c r="CJ28" s="16">
        <f t="shared" si="225"/>
        <v>11760</v>
      </c>
      <c r="CK28" s="16">
        <f t="shared" si="225"/>
        <v>7840</v>
      </c>
      <c r="CL28" s="16">
        <f t="shared" si="225"/>
        <v>3920</v>
      </c>
      <c r="CM28" s="16">
        <f t="shared" si="225"/>
        <v>0</v>
      </c>
      <c r="CN28" s="16">
        <f t="shared" si="225"/>
        <v>3920</v>
      </c>
      <c r="CO28" s="16">
        <f t="shared" si="225"/>
        <v>7840</v>
      </c>
      <c r="CP28" s="16">
        <f t="shared" si="225"/>
        <v>11760</v>
      </c>
      <c r="CQ28" s="16">
        <f t="shared" si="225"/>
        <v>15680</v>
      </c>
      <c r="CR28" s="16">
        <f t="shared" si="225"/>
        <v>19600</v>
      </c>
      <c r="CS28" s="16">
        <f t="shared" si="225"/>
        <v>23520</v>
      </c>
      <c r="CT28" s="16">
        <f t="shared" si="225"/>
        <v>19600</v>
      </c>
      <c r="CU28" s="16">
        <f t="shared" si="225"/>
        <v>15680</v>
      </c>
      <c r="CV28" s="16">
        <f t="shared" si="225"/>
        <v>11760</v>
      </c>
      <c r="CW28" s="16">
        <f t="shared" si="225"/>
        <v>7840</v>
      </c>
      <c r="CX28" s="16">
        <f t="shared" si="225"/>
        <v>3920</v>
      </c>
      <c r="CY28" s="16">
        <f t="shared" si="225"/>
        <v>0</v>
      </c>
      <c r="CZ28" s="16">
        <f t="shared" si="225"/>
        <v>3920</v>
      </c>
      <c r="DA28" s="16">
        <f t="shared" si="225"/>
        <v>7840</v>
      </c>
      <c r="DB28" s="16">
        <f t="shared" si="225"/>
        <v>11760</v>
      </c>
      <c r="DC28" s="16">
        <f t="shared" si="225"/>
        <v>15680</v>
      </c>
      <c r="DD28" s="16">
        <f t="shared" si="225"/>
        <v>19600</v>
      </c>
      <c r="DE28" s="16">
        <f t="shared" si="225"/>
        <v>23520</v>
      </c>
      <c r="DF28" s="16">
        <f t="shared" si="225"/>
        <v>19600</v>
      </c>
      <c r="DG28" s="16">
        <f t="shared" si="225"/>
        <v>15680</v>
      </c>
      <c r="DH28" s="16">
        <f t="shared" si="225"/>
        <v>11760</v>
      </c>
      <c r="DI28" s="16">
        <f t="shared" si="225"/>
        <v>7840</v>
      </c>
      <c r="DJ28" s="16">
        <f t="shared" si="225"/>
        <v>3920</v>
      </c>
      <c r="DK28" s="16">
        <f t="shared" si="225"/>
        <v>0</v>
      </c>
      <c r="DL28" s="16">
        <f t="shared" si="225"/>
        <v>3920</v>
      </c>
      <c r="DM28" s="16">
        <f t="shared" si="225"/>
        <v>7840</v>
      </c>
      <c r="DN28" s="16">
        <f t="shared" si="225"/>
        <v>11760</v>
      </c>
      <c r="DO28" s="16">
        <f t="shared" si="225"/>
        <v>15680</v>
      </c>
      <c r="DP28" s="16">
        <f t="shared" si="225"/>
        <v>19600</v>
      </c>
      <c r="DQ28" s="16">
        <f t="shared" si="225"/>
        <v>23520</v>
      </c>
      <c r="DR28" s="16">
        <f t="shared" si="225"/>
        <v>19600</v>
      </c>
      <c r="DS28" s="16">
        <f t="shared" si="225"/>
        <v>15680</v>
      </c>
      <c r="DT28" s="16">
        <f t="shared" si="225"/>
        <v>11760</v>
      </c>
      <c r="DU28" s="16">
        <f t="shared" si="225"/>
        <v>7840</v>
      </c>
      <c r="DV28" s="16">
        <f t="shared" si="225"/>
        <v>3920</v>
      </c>
      <c r="DW28" s="16">
        <f t="shared" si="225"/>
        <v>0</v>
      </c>
      <c r="DX28" s="16">
        <f t="shared" si="225"/>
        <v>3920</v>
      </c>
      <c r="DY28" s="16">
        <f t="shared" si="225"/>
        <v>7840</v>
      </c>
      <c r="DZ28" s="16">
        <f t="shared" si="225"/>
        <v>11760</v>
      </c>
      <c r="EA28" s="16">
        <f t="shared" si="225"/>
        <v>15680</v>
      </c>
      <c r="EB28" s="16">
        <f t="shared" ref="EB28:FO28" si="226">EB3+EB10-EB16-EB22</f>
        <v>19600</v>
      </c>
      <c r="EC28" s="16">
        <f t="shared" si="226"/>
        <v>23520</v>
      </c>
      <c r="ED28" s="16">
        <f t="shared" si="226"/>
        <v>19600</v>
      </c>
      <c r="EE28" s="16">
        <f t="shared" si="226"/>
        <v>15680</v>
      </c>
      <c r="EF28" s="16">
        <f t="shared" si="226"/>
        <v>11760</v>
      </c>
      <c r="EG28" s="16">
        <f t="shared" si="226"/>
        <v>7840</v>
      </c>
      <c r="EH28" s="16">
        <f t="shared" si="226"/>
        <v>3920</v>
      </c>
      <c r="EI28" s="16">
        <f t="shared" si="226"/>
        <v>0</v>
      </c>
      <c r="EJ28" s="16">
        <f t="shared" si="226"/>
        <v>3920</v>
      </c>
      <c r="EK28" s="16">
        <f t="shared" si="226"/>
        <v>7840</v>
      </c>
      <c r="EL28" s="16">
        <f t="shared" si="226"/>
        <v>11760</v>
      </c>
      <c r="EM28" s="16">
        <f t="shared" si="226"/>
        <v>15680</v>
      </c>
      <c r="EN28" s="16">
        <f t="shared" si="226"/>
        <v>19600</v>
      </c>
      <c r="EO28" s="16">
        <f t="shared" si="226"/>
        <v>23520</v>
      </c>
      <c r="EP28" s="16">
        <f t="shared" si="226"/>
        <v>19600</v>
      </c>
      <c r="EQ28" s="16">
        <f t="shared" si="226"/>
        <v>15680</v>
      </c>
      <c r="ER28" s="16">
        <f t="shared" si="226"/>
        <v>11760</v>
      </c>
      <c r="ES28" s="16">
        <f t="shared" si="226"/>
        <v>7840</v>
      </c>
      <c r="ET28" s="16">
        <f t="shared" si="226"/>
        <v>3920</v>
      </c>
      <c r="EU28" s="16">
        <f t="shared" si="226"/>
        <v>0</v>
      </c>
      <c r="EV28" s="16">
        <f t="shared" si="226"/>
        <v>3920</v>
      </c>
      <c r="EW28" s="16">
        <f t="shared" si="226"/>
        <v>7840</v>
      </c>
      <c r="EX28" s="16">
        <f t="shared" si="226"/>
        <v>11760</v>
      </c>
      <c r="EY28" s="16">
        <f t="shared" si="226"/>
        <v>15680</v>
      </c>
      <c r="EZ28" s="16">
        <f t="shared" si="226"/>
        <v>19600</v>
      </c>
      <c r="FA28" s="16">
        <f t="shared" si="226"/>
        <v>23520</v>
      </c>
      <c r="FB28" s="16">
        <f t="shared" si="226"/>
        <v>19600</v>
      </c>
      <c r="FC28" s="16">
        <f t="shared" si="226"/>
        <v>15680</v>
      </c>
      <c r="FD28" s="16">
        <f t="shared" si="226"/>
        <v>11760</v>
      </c>
      <c r="FE28" s="16">
        <f t="shared" si="226"/>
        <v>7840</v>
      </c>
      <c r="FF28" s="16">
        <f t="shared" si="226"/>
        <v>3920</v>
      </c>
      <c r="FG28" s="16">
        <f t="shared" si="226"/>
        <v>0</v>
      </c>
      <c r="FH28" s="16">
        <f t="shared" si="226"/>
        <v>3920</v>
      </c>
      <c r="FI28" s="16">
        <f t="shared" si="226"/>
        <v>7840</v>
      </c>
      <c r="FJ28" s="16">
        <f t="shared" si="226"/>
        <v>11760</v>
      </c>
      <c r="FK28" s="16">
        <f t="shared" si="226"/>
        <v>15680</v>
      </c>
      <c r="FL28" s="16">
        <f t="shared" si="226"/>
        <v>19600</v>
      </c>
      <c r="FM28" s="16">
        <f t="shared" si="226"/>
        <v>23520</v>
      </c>
      <c r="FN28" s="16">
        <f t="shared" si="226"/>
        <v>19600</v>
      </c>
      <c r="FO28" s="16">
        <f t="shared" si="226"/>
        <v>15680</v>
      </c>
    </row>
    <row r="29" spans="1:171">
      <c r="A29" s="87" t="s">
        <v>154</v>
      </c>
      <c r="B29" s="16">
        <f t="shared" ref="B29:C31" si="227">B4+B11-B17-B23</f>
        <v>2090.666666666667</v>
      </c>
      <c r="C29" s="16">
        <f t="shared" si="227"/>
        <v>4181.333333333333</v>
      </c>
      <c r="D29" s="16">
        <f t="shared" ref="D29:BO29" si="228">D4+D11-D17-D23</f>
        <v>6271.9999999999991</v>
      </c>
      <c r="E29" s="16">
        <f t="shared" si="228"/>
        <v>4181.3333333333321</v>
      </c>
      <c r="F29" s="16">
        <f t="shared" si="228"/>
        <v>2090.6666666666656</v>
      </c>
      <c r="G29" s="16">
        <f t="shared" si="228"/>
        <v>0</v>
      </c>
      <c r="H29" s="16">
        <f t="shared" si="228"/>
        <v>1045.3333333333335</v>
      </c>
      <c r="I29" s="16">
        <f t="shared" si="228"/>
        <v>2090.6666666666665</v>
      </c>
      <c r="J29" s="16">
        <f t="shared" si="228"/>
        <v>3135.9999999999995</v>
      </c>
      <c r="K29" s="16">
        <f t="shared" si="228"/>
        <v>4181.333333333333</v>
      </c>
      <c r="L29" s="16">
        <f t="shared" si="228"/>
        <v>5226.666666666667</v>
      </c>
      <c r="M29" s="16">
        <f t="shared" si="228"/>
        <v>6272.0000000000009</v>
      </c>
      <c r="N29" s="16">
        <f t="shared" si="228"/>
        <v>5226.6666666666679</v>
      </c>
      <c r="O29" s="16">
        <f t="shared" si="228"/>
        <v>4181.3333333333339</v>
      </c>
      <c r="P29" s="16">
        <f t="shared" si="228"/>
        <v>3136.0000000000005</v>
      </c>
      <c r="Q29" s="16">
        <f t="shared" si="228"/>
        <v>2090.666666666667</v>
      </c>
      <c r="R29" s="16">
        <f t="shared" si="228"/>
        <v>1045.3333333333335</v>
      </c>
      <c r="S29" s="16">
        <f t="shared" si="228"/>
        <v>0</v>
      </c>
      <c r="T29" s="16">
        <f t="shared" si="228"/>
        <v>1045.3333333333335</v>
      </c>
      <c r="U29" s="16">
        <f t="shared" si="228"/>
        <v>2090.6666666666665</v>
      </c>
      <c r="V29" s="16">
        <f t="shared" si="228"/>
        <v>3135.9999999999995</v>
      </c>
      <c r="W29" s="16">
        <f t="shared" si="228"/>
        <v>4181.333333333333</v>
      </c>
      <c r="X29" s="16">
        <f t="shared" si="228"/>
        <v>5226.666666666667</v>
      </c>
      <c r="Y29" s="16">
        <f t="shared" si="228"/>
        <v>6272.0000000000009</v>
      </c>
      <c r="Z29" s="16">
        <f t="shared" si="228"/>
        <v>5226.6666666666679</v>
      </c>
      <c r="AA29" s="16">
        <f t="shared" si="228"/>
        <v>4181.3333333333339</v>
      </c>
      <c r="AB29" s="16">
        <f t="shared" si="228"/>
        <v>3136.0000000000005</v>
      </c>
      <c r="AC29" s="16">
        <f t="shared" si="228"/>
        <v>2090.666666666667</v>
      </c>
      <c r="AD29" s="16">
        <f t="shared" si="228"/>
        <v>1045.3333333333335</v>
      </c>
      <c r="AE29" s="16">
        <f t="shared" si="228"/>
        <v>0</v>
      </c>
      <c r="AF29" s="16">
        <f t="shared" si="228"/>
        <v>1045.3333333333335</v>
      </c>
      <c r="AG29" s="16">
        <f t="shared" si="228"/>
        <v>2090.6666666666665</v>
      </c>
      <c r="AH29" s="16">
        <f t="shared" si="228"/>
        <v>3135.9999999999995</v>
      </c>
      <c r="AI29" s="16">
        <f t="shared" si="228"/>
        <v>4181.333333333333</v>
      </c>
      <c r="AJ29" s="16">
        <f t="shared" si="228"/>
        <v>5226.666666666667</v>
      </c>
      <c r="AK29" s="16">
        <f t="shared" si="228"/>
        <v>6272.0000000000009</v>
      </c>
      <c r="AL29" s="16">
        <f t="shared" si="228"/>
        <v>5226.6666666666679</v>
      </c>
      <c r="AM29" s="16">
        <f t="shared" si="228"/>
        <v>4181.3333333333339</v>
      </c>
      <c r="AN29" s="16">
        <f t="shared" si="228"/>
        <v>3136.0000000000005</v>
      </c>
      <c r="AO29" s="16">
        <f t="shared" si="228"/>
        <v>2090.666666666667</v>
      </c>
      <c r="AP29" s="16">
        <f t="shared" si="228"/>
        <v>1045.3333333333335</v>
      </c>
      <c r="AQ29" s="16">
        <f t="shared" si="228"/>
        <v>0</v>
      </c>
      <c r="AR29" s="16">
        <f t="shared" si="228"/>
        <v>1045.3333333333335</v>
      </c>
      <c r="AS29" s="16">
        <f t="shared" si="228"/>
        <v>2090.6666666666665</v>
      </c>
      <c r="AT29" s="16">
        <f t="shared" si="228"/>
        <v>3135.9999999999995</v>
      </c>
      <c r="AU29" s="16">
        <f t="shared" si="228"/>
        <v>4181.333333333333</v>
      </c>
      <c r="AV29" s="16">
        <f t="shared" si="228"/>
        <v>5226.666666666667</v>
      </c>
      <c r="AW29" s="16">
        <f t="shared" si="228"/>
        <v>6272.0000000000009</v>
      </c>
      <c r="AX29" s="16">
        <f t="shared" si="228"/>
        <v>5226.6666666666679</v>
      </c>
      <c r="AY29" s="16">
        <f t="shared" si="228"/>
        <v>4181.3333333333339</v>
      </c>
      <c r="AZ29" s="16">
        <f t="shared" si="228"/>
        <v>3136.0000000000005</v>
      </c>
      <c r="BA29" s="16">
        <f t="shared" si="228"/>
        <v>2090.666666666667</v>
      </c>
      <c r="BB29" s="16">
        <f t="shared" si="228"/>
        <v>1045.3333333333335</v>
      </c>
      <c r="BC29" s="16">
        <f t="shared" si="228"/>
        <v>0</v>
      </c>
      <c r="BD29" s="16">
        <f t="shared" si="228"/>
        <v>1045.3333333333335</v>
      </c>
      <c r="BE29" s="16">
        <f t="shared" si="228"/>
        <v>2090.6666666666665</v>
      </c>
      <c r="BF29" s="16">
        <f t="shared" si="228"/>
        <v>3135.9999999999995</v>
      </c>
      <c r="BG29" s="16">
        <f t="shared" si="228"/>
        <v>4181.333333333333</v>
      </c>
      <c r="BH29" s="16">
        <f t="shared" si="228"/>
        <v>5226.666666666667</v>
      </c>
      <c r="BI29" s="16">
        <f t="shared" si="228"/>
        <v>6272.0000000000009</v>
      </c>
      <c r="BJ29" s="16">
        <f t="shared" si="228"/>
        <v>5226.6666666666679</v>
      </c>
      <c r="BK29" s="16">
        <f t="shared" si="228"/>
        <v>4181.3333333333339</v>
      </c>
      <c r="BL29" s="16">
        <f t="shared" si="228"/>
        <v>3136.0000000000005</v>
      </c>
      <c r="BM29" s="16">
        <f t="shared" si="228"/>
        <v>2090.666666666667</v>
      </c>
      <c r="BN29" s="16">
        <f t="shared" si="228"/>
        <v>1045.3333333333335</v>
      </c>
      <c r="BO29" s="16">
        <f t="shared" si="228"/>
        <v>0</v>
      </c>
      <c r="BP29" s="16">
        <f t="shared" ref="BP29:EA29" si="229">BP4+BP11-BP17-BP23</f>
        <v>1045.3333333333335</v>
      </c>
      <c r="BQ29" s="16">
        <f t="shared" si="229"/>
        <v>2090.6666666666665</v>
      </c>
      <c r="BR29" s="16">
        <f t="shared" si="229"/>
        <v>3135.9999999999995</v>
      </c>
      <c r="BS29" s="16">
        <f t="shared" si="229"/>
        <v>4181.333333333333</v>
      </c>
      <c r="BT29" s="16">
        <f t="shared" si="229"/>
        <v>5226.666666666667</v>
      </c>
      <c r="BU29" s="16">
        <f t="shared" si="229"/>
        <v>6272.0000000000009</v>
      </c>
      <c r="BV29" s="16">
        <f t="shared" si="229"/>
        <v>5226.6666666666679</v>
      </c>
      <c r="BW29" s="16">
        <f t="shared" si="229"/>
        <v>4181.3333333333339</v>
      </c>
      <c r="BX29" s="16">
        <f t="shared" si="229"/>
        <v>3136.0000000000005</v>
      </c>
      <c r="BY29" s="16">
        <f t="shared" si="229"/>
        <v>2090.666666666667</v>
      </c>
      <c r="BZ29" s="16">
        <f t="shared" si="229"/>
        <v>1045.3333333333335</v>
      </c>
      <c r="CA29" s="16">
        <f t="shared" si="229"/>
        <v>0</v>
      </c>
      <c r="CB29" s="16">
        <f t="shared" si="229"/>
        <v>1045.3333333333335</v>
      </c>
      <c r="CC29" s="16">
        <f t="shared" si="229"/>
        <v>2090.6666666666665</v>
      </c>
      <c r="CD29" s="16">
        <f t="shared" si="229"/>
        <v>3135.9999999999995</v>
      </c>
      <c r="CE29" s="16">
        <f t="shared" si="229"/>
        <v>4181.333333333333</v>
      </c>
      <c r="CF29" s="16">
        <f t="shared" si="229"/>
        <v>5226.666666666667</v>
      </c>
      <c r="CG29" s="16">
        <f t="shared" si="229"/>
        <v>6272.0000000000009</v>
      </c>
      <c r="CH29" s="16">
        <f t="shared" si="229"/>
        <v>5226.6666666666679</v>
      </c>
      <c r="CI29" s="16">
        <f t="shared" si="229"/>
        <v>4181.3333333333339</v>
      </c>
      <c r="CJ29" s="16">
        <f t="shared" si="229"/>
        <v>3136.0000000000005</v>
      </c>
      <c r="CK29" s="16">
        <f t="shared" si="229"/>
        <v>2090.666666666667</v>
      </c>
      <c r="CL29" s="16">
        <f t="shared" si="229"/>
        <v>1045.3333333333335</v>
      </c>
      <c r="CM29" s="16">
        <f t="shared" si="229"/>
        <v>0</v>
      </c>
      <c r="CN29" s="16">
        <f t="shared" si="229"/>
        <v>1045.3333333333335</v>
      </c>
      <c r="CO29" s="16">
        <f t="shared" si="229"/>
        <v>2090.6666666666665</v>
      </c>
      <c r="CP29" s="16">
        <f t="shared" si="229"/>
        <v>3135.9999999999995</v>
      </c>
      <c r="CQ29" s="16">
        <f t="shared" si="229"/>
        <v>4181.333333333333</v>
      </c>
      <c r="CR29" s="16">
        <f t="shared" si="229"/>
        <v>5226.666666666667</v>
      </c>
      <c r="CS29" s="16">
        <f t="shared" si="229"/>
        <v>6272.0000000000009</v>
      </c>
      <c r="CT29" s="16">
        <f t="shared" si="229"/>
        <v>5226.6666666666679</v>
      </c>
      <c r="CU29" s="16">
        <f t="shared" si="229"/>
        <v>4181.3333333333339</v>
      </c>
      <c r="CV29" s="16">
        <f t="shared" si="229"/>
        <v>3136.0000000000005</v>
      </c>
      <c r="CW29" s="16">
        <f t="shared" si="229"/>
        <v>2090.666666666667</v>
      </c>
      <c r="CX29" s="16">
        <f t="shared" si="229"/>
        <v>1045.3333333333335</v>
      </c>
      <c r="CY29" s="16">
        <f t="shared" si="229"/>
        <v>0</v>
      </c>
      <c r="CZ29" s="16">
        <f t="shared" si="229"/>
        <v>1045.3333333333335</v>
      </c>
      <c r="DA29" s="16">
        <f t="shared" si="229"/>
        <v>2090.6666666666665</v>
      </c>
      <c r="DB29" s="16">
        <f t="shared" si="229"/>
        <v>3135.9999999999995</v>
      </c>
      <c r="DC29" s="16">
        <f t="shared" si="229"/>
        <v>4181.333333333333</v>
      </c>
      <c r="DD29" s="16">
        <f t="shared" si="229"/>
        <v>5226.666666666667</v>
      </c>
      <c r="DE29" s="16">
        <f t="shared" si="229"/>
        <v>6272.0000000000009</v>
      </c>
      <c r="DF29" s="16">
        <f t="shared" si="229"/>
        <v>5226.6666666666679</v>
      </c>
      <c r="DG29" s="16">
        <f t="shared" si="229"/>
        <v>4181.3333333333339</v>
      </c>
      <c r="DH29" s="16">
        <f t="shared" si="229"/>
        <v>3136.0000000000005</v>
      </c>
      <c r="DI29" s="16">
        <f t="shared" si="229"/>
        <v>2090.666666666667</v>
      </c>
      <c r="DJ29" s="16">
        <f t="shared" si="229"/>
        <v>1045.3333333333335</v>
      </c>
      <c r="DK29" s="16">
        <f t="shared" si="229"/>
        <v>0</v>
      </c>
      <c r="DL29" s="16">
        <f t="shared" si="229"/>
        <v>1045.3333333333335</v>
      </c>
      <c r="DM29" s="16">
        <f t="shared" si="229"/>
        <v>2090.6666666666665</v>
      </c>
      <c r="DN29" s="16">
        <f t="shared" si="229"/>
        <v>3135.9999999999995</v>
      </c>
      <c r="DO29" s="16">
        <f t="shared" si="229"/>
        <v>4181.333333333333</v>
      </c>
      <c r="DP29" s="16">
        <f t="shared" si="229"/>
        <v>5226.666666666667</v>
      </c>
      <c r="DQ29" s="16">
        <f t="shared" si="229"/>
        <v>6272.0000000000009</v>
      </c>
      <c r="DR29" s="16">
        <f t="shared" si="229"/>
        <v>5226.6666666666679</v>
      </c>
      <c r="DS29" s="16">
        <f t="shared" si="229"/>
        <v>4181.3333333333339</v>
      </c>
      <c r="DT29" s="16">
        <f t="shared" si="229"/>
        <v>3136.0000000000005</v>
      </c>
      <c r="DU29" s="16">
        <f t="shared" si="229"/>
        <v>2090.666666666667</v>
      </c>
      <c r="DV29" s="16">
        <f t="shared" si="229"/>
        <v>1045.3333333333335</v>
      </c>
      <c r="DW29" s="16">
        <f t="shared" si="229"/>
        <v>0</v>
      </c>
      <c r="DX29" s="16">
        <f t="shared" si="229"/>
        <v>1045.3333333333335</v>
      </c>
      <c r="DY29" s="16">
        <f t="shared" si="229"/>
        <v>2090.6666666666665</v>
      </c>
      <c r="DZ29" s="16">
        <f t="shared" si="229"/>
        <v>3135.9999999999995</v>
      </c>
      <c r="EA29" s="16">
        <f t="shared" si="229"/>
        <v>4181.333333333333</v>
      </c>
      <c r="EB29" s="16">
        <f t="shared" ref="EB29:FO29" si="230">EB4+EB11-EB17-EB23</f>
        <v>5226.666666666667</v>
      </c>
      <c r="EC29" s="16">
        <f t="shared" si="230"/>
        <v>6272.0000000000009</v>
      </c>
      <c r="ED29" s="16">
        <f t="shared" si="230"/>
        <v>5226.6666666666679</v>
      </c>
      <c r="EE29" s="16">
        <f t="shared" si="230"/>
        <v>4181.3333333333339</v>
      </c>
      <c r="EF29" s="16">
        <f t="shared" si="230"/>
        <v>3136.0000000000005</v>
      </c>
      <c r="EG29" s="16">
        <f t="shared" si="230"/>
        <v>2090.666666666667</v>
      </c>
      <c r="EH29" s="16">
        <f t="shared" si="230"/>
        <v>1045.3333333333335</v>
      </c>
      <c r="EI29" s="16">
        <f t="shared" si="230"/>
        <v>0</v>
      </c>
      <c r="EJ29" s="16">
        <f t="shared" si="230"/>
        <v>1045.3333333333335</v>
      </c>
      <c r="EK29" s="16">
        <f t="shared" si="230"/>
        <v>2090.6666666666665</v>
      </c>
      <c r="EL29" s="16">
        <f t="shared" si="230"/>
        <v>3135.9999999999995</v>
      </c>
      <c r="EM29" s="16">
        <f t="shared" si="230"/>
        <v>4181.333333333333</v>
      </c>
      <c r="EN29" s="16">
        <f t="shared" si="230"/>
        <v>5226.666666666667</v>
      </c>
      <c r="EO29" s="16">
        <f t="shared" si="230"/>
        <v>6272.0000000000009</v>
      </c>
      <c r="EP29" s="16">
        <f t="shared" si="230"/>
        <v>5226.6666666666679</v>
      </c>
      <c r="EQ29" s="16">
        <f t="shared" si="230"/>
        <v>4181.3333333333339</v>
      </c>
      <c r="ER29" s="16">
        <f t="shared" si="230"/>
        <v>3136.0000000000005</v>
      </c>
      <c r="ES29" s="16">
        <f t="shared" si="230"/>
        <v>2090.666666666667</v>
      </c>
      <c r="ET29" s="16">
        <f t="shared" si="230"/>
        <v>1045.3333333333335</v>
      </c>
      <c r="EU29" s="16">
        <f t="shared" si="230"/>
        <v>0</v>
      </c>
      <c r="EV29" s="16">
        <f t="shared" si="230"/>
        <v>1045.3333333333335</v>
      </c>
      <c r="EW29" s="16">
        <f t="shared" si="230"/>
        <v>2090.6666666666665</v>
      </c>
      <c r="EX29" s="16">
        <f t="shared" si="230"/>
        <v>3135.9999999999995</v>
      </c>
      <c r="EY29" s="16">
        <f t="shared" si="230"/>
        <v>4181.333333333333</v>
      </c>
      <c r="EZ29" s="16">
        <f t="shared" si="230"/>
        <v>5226.666666666667</v>
      </c>
      <c r="FA29" s="16">
        <f t="shared" si="230"/>
        <v>6272.0000000000009</v>
      </c>
      <c r="FB29" s="16">
        <f t="shared" si="230"/>
        <v>5226.6666666666679</v>
      </c>
      <c r="FC29" s="16">
        <f t="shared" si="230"/>
        <v>4181.3333333333339</v>
      </c>
      <c r="FD29" s="16">
        <f t="shared" si="230"/>
        <v>3136.0000000000005</v>
      </c>
      <c r="FE29" s="16">
        <f t="shared" si="230"/>
        <v>2090.666666666667</v>
      </c>
      <c r="FF29" s="16">
        <f t="shared" si="230"/>
        <v>1045.3333333333335</v>
      </c>
      <c r="FG29" s="16">
        <f t="shared" si="230"/>
        <v>0</v>
      </c>
      <c r="FH29" s="16">
        <f t="shared" si="230"/>
        <v>1045.3333333333335</v>
      </c>
      <c r="FI29" s="16">
        <f t="shared" si="230"/>
        <v>2090.6666666666665</v>
      </c>
      <c r="FJ29" s="16">
        <f t="shared" si="230"/>
        <v>3135.9999999999995</v>
      </c>
      <c r="FK29" s="16">
        <f t="shared" si="230"/>
        <v>4181.333333333333</v>
      </c>
      <c r="FL29" s="16">
        <f t="shared" si="230"/>
        <v>5226.666666666667</v>
      </c>
      <c r="FM29" s="16">
        <f t="shared" si="230"/>
        <v>6272.0000000000009</v>
      </c>
      <c r="FN29" s="16">
        <f t="shared" si="230"/>
        <v>5226.6666666666679</v>
      </c>
      <c r="FO29" s="16">
        <f t="shared" si="230"/>
        <v>4181.3333333333339</v>
      </c>
    </row>
    <row r="30" spans="1:171">
      <c r="A30" s="87" t="s">
        <v>155</v>
      </c>
      <c r="B30" s="16">
        <f t="shared" si="227"/>
        <v>2090.666666666667</v>
      </c>
      <c r="C30" s="16">
        <f t="shared" si="227"/>
        <v>4181.333333333333</v>
      </c>
      <c r="D30" s="16">
        <f t="shared" ref="D30:BO30" si="231">D5+D12-D18-D24</f>
        <v>6271.9999999999991</v>
      </c>
      <c r="E30" s="16">
        <f t="shared" si="231"/>
        <v>4181.3333333333321</v>
      </c>
      <c r="F30" s="16">
        <f t="shared" si="231"/>
        <v>2090.6666666666656</v>
      </c>
      <c r="G30" s="16">
        <f t="shared" si="231"/>
        <v>0</v>
      </c>
      <c r="H30" s="16">
        <f t="shared" si="231"/>
        <v>1045.3333333333335</v>
      </c>
      <c r="I30" s="16">
        <f t="shared" si="231"/>
        <v>2090.6666666666665</v>
      </c>
      <c r="J30" s="16">
        <f t="shared" si="231"/>
        <v>3135.9999999999995</v>
      </c>
      <c r="K30" s="16">
        <f t="shared" si="231"/>
        <v>4181.333333333333</v>
      </c>
      <c r="L30" s="16">
        <f t="shared" si="231"/>
        <v>5226.666666666667</v>
      </c>
      <c r="M30" s="16">
        <f t="shared" si="231"/>
        <v>6272.0000000000009</v>
      </c>
      <c r="N30" s="16">
        <f t="shared" si="231"/>
        <v>5226.6666666666679</v>
      </c>
      <c r="O30" s="16">
        <f t="shared" si="231"/>
        <v>4181.3333333333339</v>
      </c>
      <c r="P30" s="16">
        <f t="shared" si="231"/>
        <v>3136.0000000000005</v>
      </c>
      <c r="Q30" s="16">
        <f t="shared" si="231"/>
        <v>2090.666666666667</v>
      </c>
      <c r="R30" s="16">
        <f t="shared" si="231"/>
        <v>1045.3333333333335</v>
      </c>
      <c r="S30" s="16">
        <f t="shared" si="231"/>
        <v>0</v>
      </c>
      <c r="T30" s="16">
        <f t="shared" si="231"/>
        <v>1045.3333333333335</v>
      </c>
      <c r="U30" s="16">
        <f t="shared" si="231"/>
        <v>2090.6666666666665</v>
      </c>
      <c r="V30" s="16">
        <f t="shared" si="231"/>
        <v>3135.9999999999995</v>
      </c>
      <c r="W30" s="16">
        <f t="shared" si="231"/>
        <v>4181.333333333333</v>
      </c>
      <c r="X30" s="16">
        <f t="shared" si="231"/>
        <v>5226.666666666667</v>
      </c>
      <c r="Y30" s="16">
        <f t="shared" si="231"/>
        <v>6272.0000000000009</v>
      </c>
      <c r="Z30" s="16">
        <f t="shared" si="231"/>
        <v>5226.6666666666679</v>
      </c>
      <c r="AA30" s="16">
        <f t="shared" si="231"/>
        <v>4181.3333333333339</v>
      </c>
      <c r="AB30" s="16">
        <f t="shared" si="231"/>
        <v>3136.0000000000005</v>
      </c>
      <c r="AC30" s="16">
        <f t="shared" si="231"/>
        <v>2090.666666666667</v>
      </c>
      <c r="AD30" s="16">
        <f t="shared" si="231"/>
        <v>1045.3333333333335</v>
      </c>
      <c r="AE30" s="16">
        <f t="shared" si="231"/>
        <v>0</v>
      </c>
      <c r="AF30" s="16">
        <f t="shared" si="231"/>
        <v>1045.3333333333335</v>
      </c>
      <c r="AG30" s="16">
        <f t="shared" si="231"/>
        <v>2090.6666666666665</v>
      </c>
      <c r="AH30" s="16">
        <f t="shared" si="231"/>
        <v>3135.9999999999995</v>
      </c>
      <c r="AI30" s="16">
        <f t="shared" si="231"/>
        <v>4181.333333333333</v>
      </c>
      <c r="AJ30" s="16">
        <f t="shared" si="231"/>
        <v>5226.666666666667</v>
      </c>
      <c r="AK30" s="16">
        <f t="shared" si="231"/>
        <v>6272.0000000000009</v>
      </c>
      <c r="AL30" s="16">
        <f t="shared" si="231"/>
        <v>5226.6666666666679</v>
      </c>
      <c r="AM30" s="16">
        <f t="shared" si="231"/>
        <v>4181.3333333333339</v>
      </c>
      <c r="AN30" s="16">
        <f t="shared" si="231"/>
        <v>3136.0000000000005</v>
      </c>
      <c r="AO30" s="16">
        <f t="shared" si="231"/>
        <v>2090.666666666667</v>
      </c>
      <c r="AP30" s="16">
        <f t="shared" si="231"/>
        <v>1045.3333333333335</v>
      </c>
      <c r="AQ30" s="16">
        <f t="shared" si="231"/>
        <v>0</v>
      </c>
      <c r="AR30" s="16">
        <f t="shared" si="231"/>
        <v>1045.3333333333335</v>
      </c>
      <c r="AS30" s="16">
        <f t="shared" si="231"/>
        <v>2090.6666666666665</v>
      </c>
      <c r="AT30" s="16">
        <f t="shared" si="231"/>
        <v>3135.9999999999995</v>
      </c>
      <c r="AU30" s="16">
        <f t="shared" si="231"/>
        <v>4181.333333333333</v>
      </c>
      <c r="AV30" s="16">
        <f t="shared" si="231"/>
        <v>5226.666666666667</v>
      </c>
      <c r="AW30" s="16">
        <f t="shared" si="231"/>
        <v>6272.0000000000009</v>
      </c>
      <c r="AX30" s="16">
        <f t="shared" si="231"/>
        <v>5226.6666666666679</v>
      </c>
      <c r="AY30" s="16">
        <f t="shared" si="231"/>
        <v>4181.3333333333339</v>
      </c>
      <c r="AZ30" s="16">
        <f t="shared" si="231"/>
        <v>3136.0000000000005</v>
      </c>
      <c r="BA30" s="16">
        <f t="shared" si="231"/>
        <v>2090.666666666667</v>
      </c>
      <c r="BB30" s="16">
        <f t="shared" si="231"/>
        <v>1045.3333333333335</v>
      </c>
      <c r="BC30" s="16">
        <f t="shared" si="231"/>
        <v>0</v>
      </c>
      <c r="BD30" s="16">
        <f t="shared" si="231"/>
        <v>1045.3333333333335</v>
      </c>
      <c r="BE30" s="16">
        <f t="shared" si="231"/>
        <v>2090.6666666666665</v>
      </c>
      <c r="BF30" s="16">
        <f t="shared" si="231"/>
        <v>3135.9999999999995</v>
      </c>
      <c r="BG30" s="16">
        <f t="shared" si="231"/>
        <v>4181.333333333333</v>
      </c>
      <c r="BH30" s="16">
        <f t="shared" si="231"/>
        <v>5226.666666666667</v>
      </c>
      <c r="BI30" s="16">
        <f t="shared" si="231"/>
        <v>6272.0000000000009</v>
      </c>
      <c r="BJ30" s="16">
        <f t="shared" si="231"/>
        <v>5226.6666666666679</v>
      </c>
      <c r="BK30" s="16">
        <f t="shared" si="231"/>
        <v>4181.3333333333339</v>
      </c>
      <c r="BL30" s="16">
        <f t="shared" si="231"/>
        <v>3136.0000000000005</v>
      </c>
      <c r="BM30" s="16">
        <f t="shared" si="231"/>
        <v>2090.666666666667</v>
      </c>
      <c r="BN30" s="16">
        <f t="shared" si="231"/>
        <v>1045.3333333333335</v>
      </c>
      <c r="BO30" s="16">
        <f t="shared" si="231"/>
        <v>0</v>
      </c>
      <c r="BP30" s="16">
        <f t="shared" ref="BP30:EA30" si="232">BP5+BP12-BP18-BP24</f>
        <v>1045.3333333333335</v>
      </c>
      <c r="BQ30" s="16">
        <f t="shared" si="232"/>
        <v>2090.6666666666665</v>
      </c>
      <c r="BR30" s="16">
        <f t="shared" si="232"/>
        <v>3135.9999999999995</v>
      </c>
      <c r="BS30" s="16">
        <f t="shared" si="232"/>
        <v>4181.333333333333</v>
      </c>
      <c r="BT30" s="16">
        <f t="shared" si="232"/>
        <v>5226.666666666667</v>
      </c>
      <c r="BU30" s="16">
        <f t="shared" si="232"/>
        <v>6272.0000000000009</v>
      </c>
      <c r="BV30" s="16">
        <f t="shared" si="232"/>
        <v>5226.6666666666679</v>
      </c>
      <c r="BW30" s="16">
        <f t="shared" si="232"/>
        <v>4181.3333333333339</v>
      </c>
      <c r="BX30" s="16">
        <f t="shared" si="232"/>
        <v>3136.0000000000005</v>
      </c>
      <c r="BY30" s="16">
        <f t="shared" si="232"/>
        <v>2090.666666666667</v>
      </c>
      <c r="BZ30" s="16">
        <f t="shared" si="232"/>
        <v>1045.3333333333335</v>
      </c>
      <c r="CA30" s="16">
        <f t="shared" si="232"/>
        <v>0</v>
      </c>
      <c r="CB30" s="16">
        <f t="shared" si="232"/>
        <v>1045.3333333333335</v>
      </c>
      <c r="CC30" s="16">
        <f t="shared" si="232"/>
        <v>2090.6666666666665</v>
      </c>
      <c r="CD30" s="16">
        <f t="shared" si="232"/>
        <v>3135.9999999999995</v>
      </c>
      <c r="CE30" s="16">
        <f t="shared" si="232"/>
        <v>4181.333333333333</v>
      </c>
      <c r="CF30" s="16">
        <f t="shared" si="232"/>
        <v>5226.666666666667</v>
      </c>
      <c r="CG30" s="16">
        <f t="shared" si="232"/>
        <v>6272.0000000000009</v>
      </c>
      <c r="CH30" s="16">
        <f t="shared" si="232"/>
        <v>5226.6666666666679</v>
      </c>
      <c r="CI30" s="16">
        <f t="shared" si="232"/>
        <v>4181.3333333333339</v>
      </c>
      <c r="CJ30" s="16">
        <f t="shared" si="232"/>
        <v>3136.0000000000005</v>
      </c>
      <c r="CK30" s="16">
        <f t="shared" si="232"/>
        <v>2090.666666666667</v>
      </c>
      <c r="CL30" s="16">
        <f t="shared" si="232"/>
        <v>1045.3333333333335</v>
      </c>
      <c r="CM30" s="16">
        <f t="shared" si="232"/>
        <v>0</v>
      </c>
      <c r="CN30" s="16">
        <f t="shared" si="232"/>
        <v>1045.3333333333335</v>
      </c>
      <c r="CO30" s="16">
        <f t="shared" si="232"/>
        <v>2090.6666666666665</v>
      </c>
      <c r="CP30" s="16">
        <f t="shared" si="232"/>
        <v>3135.9999999999995</v>
      </c>
      <c r="CQ30" s="16">
        <f t="shared" si="232"/>
        <v>4181.333333333333</v>
      </c>
      <c r="CR30" s="16">
        <f t="shared" si="232"/>
        <v>5226.666666666667</v>
      </c>
      <c r="CS30" s="16">
        <f t="shared" si="232"/>
        <v>6272.0000000000009</v>
      </c>
      <c r="CT30" s="16">
        <f t="shared" si="232"/>
        <v>5226.6666666666679</v>
      </c>
      <c r="CU30" s="16">
        <f t="shared" si="232"/>
        <v>4181.3333333333339</v>
      </c>
      <c r="CV30" s="16">
        <f t="shared" si="232"/>
        <v>3136.0000000000005</v>
      </c>
      <c r="CW30" s="16">
        <f t="shared" si="232"/>
        <v>2090.666666666667</v>
      </c>
      <c r="CX30" s="16">
        <f t="shared" si="232"/>
        <v>1045.3333333333335</v>
      </c>
      <c r="CY30" s="16">
        <f t="shared" si="232"/>
        <v>0</v>
      </c>
      <c r="CZ30" s="16">
        <f t="shared" si="232"/>
        <v>1045.3333333333335</v>
      </c>
      <c r="DA30" s="16">
        <f t="shared" si="232"/>
        <v>2090.6666666666665</v>
      </c>
      <c r="DB30" s="16">
        <f t="shared" si="232"/>
        <v>3135.9999999999995</v>
      </c>
      <c r="DC30" s="16">
        <f t="shared" si="232"/>
        <v>4181.333333333333</v>
      </c>
      <c r="DD30" s="16">
        <f t="shared" si="232"/>
        <v>5226.666666666667</v>
      </c>
      <c r="DE30" s="16">
        <f t="shared" si="232"/>
        <v>6272.0000000000009</v>
      </c>
      <c r="DF30" s="16">
        <f t="shared" si="232"/>
        <v>5226.6666666666679</v>
      </c>
      <c r="DG30" s="16">
        <f t="shared" si="232"/>
        <v>4181.3333333333339</v>
      </c>
      <c r="DH30" s="16">
        <f t="shared" si="232"/>
        <v>3136.0000000000005</v>
      </c>
      <c r="DI30" s="16">
        <f t="shared" si="232"/>
        <v>2090.666666666667</v>
      </c>
      <c r="DJ30" s="16">
        <f t="shared" si="232"/>
        <v>1045.3333333333335</v>
      </c>
      <c r="DK30" s="16">
        <f t="shared" si="232"/>
        <v>0</v>
      </c>
      <c r="DL30" s="16">
        <f t="shared" si="232"/>
        <v>1045.3333333333335</v>
      </c>
      <c r="DM30" s="16">
        <f t="shared" si="232"/>
        <v>2090.6666666666665</v>
      </c>
      <c r="DN30" s="16">
        <f t="shared" si="232"/>
        <v>3135.9999999999995</v>
      </c>
      <c r="DO30" s="16">
        <f t="shared" si="232"/>
        <v>4181.333333333333</v>
      </c>
      <c r="DP30" s="16">
        <f t="shared" si="232"/>
        <v>5226.666666666667</v>
      </c>
      <c r="DQ30" s="16">
        <f t="shared" si="232"/>
        <v>6272.0000000000009</v>
      </c>
      <c r="DR30" s="16">
        <f t="shared" si="232"/>
        <v>5226.6666666666679</v>
      </c>
      <c r="DS30" s="16">
        <f t="shared" si="232"/>
        <v>4181.3333333333339</v>
      </c>
      <c r="DT30" s="16">
        <f t="shared" si="232"/>
        <v>3136.0000000000005</v>
      </c>
      <c r="DU30" s="16">
        <f t="shared" si="232"/>
        <v>2090.666666666667</v>
      </c>
      <c r="DV30" s="16">
        <f t="shared" si="232"/>
        <v>1045.3333333333335</v>
      </c>
      <c r="DW30" s="16">
        <f t="shared" si="232"/>
        <v>0</v>
      </c>
      <c r="DX30" s="16">
        <f t="shared" si="232"/>
        <v>1045.3333333333335</v>
      </c>
      <c r="DY30" s="16">
        <f t="shared" si="232"/>
        <v>2090.6666666666665</v>
      </c>
      <c r="DZ30" s="16">
        <f t="shared" si="232"/>
        <v>3135.9999999999995</v>
      </c>
      <c r="EA30" s="16">
        <f t="shared" si="232"/>
        <v>4181.333333333333</v>
      </c>
      <c r="EB30" s="16">
        <f t="shared" ref="EB30:FO30" si="233">EB5+EB12-EB18-EB24</f>
        <v>5226.666666666667</v>
      </c>
      <c r="EC30" s="16">
        <f t="shared" si="233"/>
        <v>6272.0000000000009</v>
      </c>
      <c r="ED30" s="16">
        <f t="shared" si="233"/>
        <v>5226.6666666666679</v>
      </c>
      <c r="EE30" s="16">
        <f t="shared" si="233"/>
        <v>4181.3333333333339</v>
      </c>
      <c r="EF30" s="16">
        <f t="shared" si="233"/>
        <v>3136.0000000000005</v>
      </c>
      <c r="EG30" s="16">
        <f t="shared" si="233"/>
        <v>2090.666666666667</v>
      </c>
      <c r="EH30" s="16">
        <f t="shared" si="233"/>
        <v>1045.3333333333335</v>
      </c>
      <c r="EI30" s="16">
        <f t="shared" si="233"/>
        <v>0</v>
      </c>
      <c r="EJ30" s="16">
        <f t="shared" si="233"/>
        <v>1045.3333333333335</v>
      </c>
      <c r="EK30" s="16">
        <f t="shared" si="233"/>
        <v>2090.6666666666665</v>
      </c>
      <c r="EL30" s="16">
        <f t="shared" si="233"/>
        <v>3135.9999999999995</v>
      </c>
      <c r="EM30" s="16">
        <f t="shared" si="233"/>
        <v>4181.333333333333</v>
      </c>
      <c r="EN30" s="16">
        <f t="shared" si="233"/>
        <v>5226.666666666667</v>
      </c>
      <c r="EO30" s="16">
        <f t="shared" si="233"/>
        <v>6272.0000000000009</v>
      </c>
      <c r="EP30" s="16">
        <f t="shared" si="233"/>
        <v>5226.6666666666679</v>
      </c>
      <c r="EQ30" s="16">
        <f t="shared" si="233"/>
        <v>4181.3333333333339</v>
      </c>
      <c r="ER30" s="16">
        <f t="shared" si="233"/>
        <v>3136.0000000000005</v>
      </c>
      <c r="ES30" s="16">
        <f t="shared" si="233"/>
        <v>2090.666666666667</v>
      </c>
      <c r="ET30" s="16">
        <f t="shared" si="233"/>
        <v>1045.3333333333335</v>
      </c>
      <c r="EU30" s="16">
        <f t="shared" si="233"/>
        <v>0</v>
      </c>
      <c r="EV30" s="16">
        <f t="shared" si="233"/>
        <v>1045.3333333333335</v>
      </c>
      <c r="EW30" s="16">
        <f t="shared" si="233"/>
        <v>2090.6666666666665</v>
      </c>
      <c r="EX30" s="16">
        <f t="shared" si="233"/>
        <v>3135.9999999999995</v>
      </c>
      <c r="EY30" s="16">
        <f t="shared" si="233"/>
        <v>4181.333333333333</v>
      </c>
      <c r="EZ30" s="16">
        <f t="shared" si="233"/>
        <v>5226.666666666667</v>
      </c>
      <c r="FA30" s="16">
        <f t="shared" si="233"/>
        <v>6272.0000000000009</v>
      </c>
      <c r="FB30" s="16">
        <f t="shared" si="233"/>
        <v>5226.6666666666679</v>
      </c>
      <c r="FC30" s="16">
        <f t="shared" si="233"/>
        <v>4181.3333333333339</v>
      </c>
      <c r="FD30" s="16">
        <f t="shared" si="233"/>
        <v>3136.0000000000005</v>
      </c>
      <c r="FE30" s="16">
        <f t="shared" si="233"/>
        <v>2090.666666666667</v>
      </c>
      <c r="FF30" s="16">
        <f t="shared" si="233"/>
        <v>1045.3333333333335</v>
      </c>
      <c r="FG30" s="16">
        <f t="shared" si="233"/>
        <v>0</v>
      </c>
      <c r="FH30" s="16">
        <f t="shared" si="233"/>
        <v>1045.3333333333335</v>
      </c>
      <c r="FI30" s="16">
        <f t="shared" si="233"/>
        <v>2090.6666666666665</v>
      </c>
      <c r="FJ30" s="16">
        <f t="shared" si="233"/>
        <v>3135.9999999999995</v>
      </c>
      <c r="FK30" s="16">
        <f t="shared" si="233"/>
        <v>4181.333333333333</v>
      </c>
      <c r="FL30" s="16">
        <f t="shared" si="233"/>
        <v>5226.666666666667</v>
      </c>
      <c r="FM30" s="16">
        <f t="shared" si="233"/>
        <v>6272.0000000000009</v>
      </c>
      <c r="FN30" s="16">
        <f t="shared" si="233"/>
        <v>5226.6666666666679</v>
      </c>
      <c r="FO30" s="16">
        <f t="shared" si="233"/>
        <v>4181.3333333333339</v>
      </c>
    </row>
    <row r="31" spans="1:171">
      <c r="A31" s="87" t="s">
        <v>156</v>
      </c>
      <c r="B31" s="16">
        <f t="shared" si="227"/>
        <v>1045.3333333333335</v>
      </c>
      <c r="C31" s="16">
        <f t="shared" si="227"/>
        <v>2090.6666666666665</v>
      </c>
      <c r="D31" s="16">
        <f t="shared" ref="D31:BO31" si="234">D6+D13-D19-D25</f>
        <v>3135.9999999999995</v>
      </c>
      <c r="E31" s="16">
        <f t="shared" si="234"/>
        <v>2090.6666666666661</v>
      </c>
      <c r="F31" s="16">
        <f t="shared" si="234"/>
        <v>1045.3333333333328</v>
      </c>
      <c r="G31" s="16">
        <f t="shared" si="234"/>
        <v>0</v>
      </c>
      <c r="H31" s="16">
        <f t="shared" si="234"/>
        <v>522.66666666666674</v>
      </c>
      <c r="I31" s="16">
        <f t="shared" si="234"/>
        <v>1045.3333333333333</v>
      </c>
      <c r="J31" s="16">
        <f t="shared" si="234"/>
        <v>1567.9999999999998</v>
      </c>
      <c r="K31" s="16">
        <f t="shared" si="234"/>
        <v>2090.6666666666665</v>
      </c>
      <c r="L31" s="16">
        <f t="shared" si="234"/>
        <v>2613.3333333333335</v>
      </c>
      <c r="M31" s="16">
        <f t="shared" si="234"/>
        <v>3136.0000000000005</v>
      </c>
      <c r="N31" s="16">
        <f t="shared" si="234"/>
        <v>2613.3333333333339</v>
      </c>
      <c r="O31" s="16">
        <f t="shared" si="234"/>
        <v>2090.666666666667</v>
      </c>
      <c r="P31" s="16">
        <f t="shared" si="234"/>
        <v>1568.0000000000002</v>
      </c>
      <c r="Q31" s="16">
        <f t="shared" si="234"/>
        <v>1045.3333333333335</v>
      </c>
      <c r="R31" s="16">
        <f t="shared" si="234"/>
        <v>522.66666666666674</v>
      </c>
      <c r="S31" s="16">
        <f t="shared" si="234"/>
        <v>0</v>
      </c>
      <c r="T31" s="16">
        <f t="shared" si="234"/>
        <v>522.66666666666674</v>
      </c>
      <c r="U31" s="16">
        <f t="shared" si="234"/>
        <v>1045.3333333333333</v>
      </c>
      <c r="V31" s="16">
        <f t="shared" si="234"/>
        <v>1567.9999999999998</v>
      </c>
      <c r="W31" s="16">
        <f t="shared" si="234"/>
        <v>2090.6666666666665</v>
      </c>
      <c r="X31" s="16">
        <f t="shared" si="234"/>
        <v>2613.3333333333335</v>
      </c>
      <c r="Y31" s="16">
        <f t="shared" si="234"/>
        <v>3136.0000000000005</v>
      </c>
      <c r="Z31" s="16">
        <f t="shared" si="234"/>
        <v>2613.3333333333339</v>
      </c>
      <c r="AA31" s="16">
        <f t="shared" si="234"/>
        <v>2090.666666666667</v>
      </c>
      <c r="AB31" s="16">
        <f t="shared" si="234"/>
        <v>1568.0000000000002</v>
      </c>
      <c r="AC31" s="16">
        <f t="shared" si="234"/>
        <v>1045.3333333333335</v>
      </c>
      <c r="AD31" s="16">
        <f t="shared" si="234"/>
        <v>522.66666666666674</v>
      </c>
      <c r="AE31" s="16">
        <f t="shared" si="234"/>
        <v>0</v>
      </c>
      <c r="AF31" s="16">
        <f t="shared" si="234"/>
        <v>522.66666666666674</v>
      </c>
      <c r="AG31" s="16">
        <f t="shared" si="234"/>
        <v>1045.3333333333333</v>
      </c>
      <c r="AH31" s="16">
        <f t="shared" si="234"/>
        <v>1567.9999999999998</v>
      </c>
      <c r="AI31" s="16">
        <f t="shared" si="234"/>
        <v>2090.6666666666665</v>
      </c>
      <c r="AJ31" s="16">
        <f t="shared" si="234"/>
        <v>2613.3333333333335</v>
      </c>
      <c r="AK31" s="16">
        <f t="shared" si="234"/>
        <v>3136.0000000000005</v>
      </c>
      <c r="AL31" s="16">
        <f t="shared" si="234"/>
        <v>2613.3333333333339</v>
      </c>
      <c r="AM31" s="16">
        <f t="shared" si="234"/>
        <v>2090.666666666667</v>
      </c>
      <c r="AN31" s="16">
        <f t="shared" si="234"/>
        <v>1568.0000000000002</v>
      </c>
      <c r="AO31" s="16">
        <f t="shared" si="234"/>
        <v>1045.3333333333335</v>
      </c>
      <c r="AP31" s="16">
        <f t="shared" si="234"/>
        <v>522.66666666666674</v>
      </c>
      <c r="AQ31" s="16">
        <f t="shared" si="234"/>
        <v>0</v>
      </c>
      <c r="AR31" s="16">
        <f t="shared" si="234"/>
        <v>522.66666666666674</v>
      </c>
      <c r="AS31" s="16">
        <f t="shared" si="234"/>
        <v>1045.3333333333333</v>
      </c>
      <c r="AT31" s="16">
        <f t="shared" si="234"/>
        <v>1567.9999999999998</v>
      </c>
      <c r="AU31" s="16">
        <f t="shared" si="234"/>
        <v>2090.6666666666665</v>
      </c>
      <c r="AV31" s="16">
        <f t="shared" si="234"/>
        <v>2613.3333333333335</v>
      </c>
      <c r="AW31" s="16">
        <f t="shared" si="234"/>
        <v>3136.0000000000005</v>
      </c>
      <c r="AX31" s="16">
        <f t="shared" si="234"/>
        <v>2613.3333333333339</v>
      </c>
      <c r="AY31" s="16">
        <f t="shared" si="234"/>
        <v>2090.666666666667</v>
      </c>
      <c r="AZ31" s="16">
        <f t="shared" si="234"/>
        <v>1568.0000000000002</v>
      </c>
      <c r="BA31" s="16">
        <f t="shared" si="234"/>
        <v>1045.3333333333335</v>
      </c>
      <c r="BB31" s="16">
        <f t="shared" si="234"/>
        <v>522.66666666666674</v>
      </c>
      <c r="BC31" s="16">
        <f t="shared" si="234"/>
        <v>0</v>
      </c>
      <c r="BD31" s="16">
        <f t="shared" si="234"/>
        <v>522.66666666666674</v>
      </c>
      <c r="BE31" s="16">
        <f t="shared" si="234"/>
        <v>1045.3333333333333</v>
      </c>
      <c r="BF31" s="16">
        <f t="shared" si="234"/>
        <v>1567.9999999999998</v>
      </c>
      <c r="BG31" s="16">
        <f t="shared" si="234"/>
        <v>2090.6666666666665</v>
      </c>
      <c r="BH31" s="16">
        <f t="shared" si="234"/>
        <v>2613.3333333333335</v>
      </c>
      <c r="BI31" s="16">
        <f t="shared" si="234"/>
        <v>3136.0000000000005</v>
      </c>
      <c r="BJ31" s="16">
        <f t="shared" si="234"/>
        <v>2613.3333333333339</v>
      </c>
      <c r="BK31" s="16">
        <f t="shared" si="234"/>
        <v>2090.666666666667</v>
      </c>
      <c r="BL31" s="16">
        <f t="shared" si="234"/>
        <v>1568.0000000000002</v>
      </c>
      <c r="BM31" s="16">
        <f t="shared" si="234"/>
        <v>1045.3333333333335</v>
      </c>
      <c r="BN31" s="16">
        <f t="shared" si="234"/>
        <v>522.66666666666674</v>
      </c>
      <c r="BO31" s="16">
        <f t="shared" si="234"/>
        <v>0</v>
      </c>
      <c r="BP31" s="16">
        <f t="shared" ref="BP31:EA31" si="235">BP6+BP13-BP19-BP25</f>
        <v>522.66666666666674</v>
      </c>
      <c r="BQ31" s="16">
        <f t="shared" si="235"/>
        <v>1045.3333333333333</v>
      </c>
      <c r="BR31" s="16">
        <f t="shared" si="235"/>
        <v>1567.9999999999998</v>
      </c>
      <c r="BS31" s="16">
        <f t="shared" si="235"/>
        <v>2090.6666666666665</v>
      </c>
      <c r="BT31" s="16">
        <f t="shared" si="235"/>
        <v>2613.3333333333335</v>
      </c>
      <c r="BU31" s="16">
        <f t="shared" si="235"/>
        <v>3136.0000000000005</v>
      </c>
      <c r="BV31" s="16">
        <f t="shared" si="235"/>
        <v>2613.3333333333339</v>
      </c>
      <c r="BW31" s="16">
        <f t="shared" si="235"/>
        <v>2090.666666666667</v>
      </c>
      <c r="BX31" s="16">
        <f t="shared" si="235"/>
        <v>1568.0000000000002</v>
      </c>
      <c r="BY31" s="16">
        <f t="shared" si="235"/>
        <v>1045.3333333333335</v>
      </c>
      <c r="BZ31" s="16">
        <f t="shared" si="235"/>
        <v>522.66666666666674</v>
      </c>
      <c r="CA31" s="16">
        <f t="shared" si="235"/>
        <v>0</v>
      </c>
      <c r="CB31" s="16">
        <f t="shared" si="235"/>
        <v>522.66666666666674</v>
      </c>
      <c r="CC31" s="16">
        <f t="shared" si="235"/>
        <v>1045.3333333333333</v>
      </c>
      <c r="CD31" s="16">
        <f t="shared" si="235"/>
        <v>1567.9999999999998</v>
      </c>
      <c r="CE31" s="16">
        <f t="shared" si="235"/>
        <v>2090.6666666666665</v>
      </c>
      <c r="CF31" s="16">
        <f t="shared" si="235"/>
        <v>2613.3333333333335</v>
      </c>
      <c r="CG31" s="16">
        <f t="shared" si="235"/>
        <v>3136.0000000000005</v>
      </c>
      <c r="CH31" s="16">
        <f t="shared" si="235"/>
        <v>2613.3333333333339</v>
      </c>
      <c r="CI31" s="16">
        <f t="shared" si="235"/>
        <v>2090.666666666667</v>
      </c>
      <c r="CJ31" s="16">
        <f t="shared" si="235"/>
        <v>1568.0000000000002</v>
      </c>
      <c r="CK31" s="16">
        <f t="shared" si="235"/>
        <v>1045.3333333333335</v>
      </c>
      <c r="CL31" s="16">
        <f t="shared" si="235"/>
        <v>522.66666666666674</v>
      </c>
      <c r="CM31" s="16">
        <f t="shared" si="235"/>
        <v>0</v>
      </c>
      <c r="CN31" s="16">
        <f t="shared" si="235"/>
        <v>522.66666666666674</v>
      </c>
      <c r="CO31" s="16">
        <f t="shared" si="235"/>
        <v>1045.3333333333333</v>
      </c>
      <c r="CP31" s="16">
        <f t="shared" si="235"/>
        <v>1567.9999999999998</v>
      </c>
      <c r="CQ31" s="16">
        <f t="shared" si="235"/>
        <v>2090.6666666666665</v>
      </c>
      <c r="CR31" s="16">
        <f t="shared" si="235"/>
        <v>2613.3333333333335</v>
      </c>
      <c r="CS31" s="16">
        <f t="shared" si="235"/>
        <v>3136.0000000000005</v>
      </c>
      <c r="CT31" s="16">
        <f t="shared" si="235"/>
        <v>2613.3333333333339</v>
      </c>
      <c r="CU31" s="16">
        <f t="shared" si="235"/>
        <v>2090.666666666667</v>
      </c>
      <c r="CV31" s="16">
        <f t="shared" si="235"/>
        <v>1568.0000000000002</v>
      </c>
      <c r="CW31" s="16">
        <f t="shared" si="235"/>
        <v>1045.3333333333335</v>
      </c>
      <c r="CX31" s="16">
        <f t="shared" si="235"/>
        <v>522.66666666666674</v>
      </c>
      <c r="CY31" s="16">
        <f t="shared" si="235"/>
        <v>0</v>
      </c>
      <c r="CZ31" s="16">
        <f t="shared" si="235"/>
        <v>522.66666666666674</v>
      </c>
      <c r="DA31" s="16">
        <f t="shared" si="235"/>
        <v>1045.3333333333333</v>
      </c>
      <c r="DB31" s="16">
        <f t="shared" si="235"/>
        <v>1567.9999999999998</v>
      </c>
      <c r="DC31" s="16">
        <f t="shared" si="235"/>
        <v>2090.6666666666665</v>
      </c>
      <c r="DD31" s="16">
        <f t="shared" si="235"/>
        <v>2613.3333333333335</v>
      </c>
      <c r="DE31" s="16">
        <f t="shared" si="235"/>
        <v>3136.0000000000005</v>
      </c>
      <c r="DF31" s="16">
        <f t="shared" si="235"/>
        <v>2613.3333333333339</v>
      </c>
      <c r="DG31" s="16">
        <f t="shared" si="235"/>
        <v>2090.666666666667</v>
      </c>
      <c r="DH31" s="16">
        <f t="shared" si="235"/>
        <v>1568.0000000000002</v>
      </c>
      <c r="DI31" s="16">
        <f t="shared" si="235"/>
        <v>1045.3333333333335</v>
      </c>
      <c r="DJ31" s="16">
        <f t="shared" si="235"/>
        <v>522.66666666666674</v>
      </c>
      <c r="DK31" s="16">
        <f t="shared" si="235"/>
        <v>0</v>
      </c>
      <c r="DL31" s="16">
        <f t="shared" si="235"/>
        <v>522.66666666666674</v>
      </c>
      <c r="DM31" s="16">
        <f t="shared" si="235"/>
        <v>1045.3333333333333</v>
      </c>
      <c r="DN31" s="16">
        <f t="shared" si="235"/>
        <v>1567.9999999999998</v>
      </c>
      <c r="DO31" s="16">
        <f t="shared" si="235"/>
        <v>2090.6666666666665</v>
      </c>
      <c r="DP31" s="16">
        <f t="shared" si="235"/>
        <v>2613.3333333333335</v>
      </c>
      <c r="DQ31" s="16">
        <f t="shared" si="235"/>
        <v>3136.0000000000005</v>
      </c>
      <c r="DR31" s="16">
        <f t="shared" si="235"/>
        <v>2613.3333333333339</v>
      </c>
      <c r="DS31" s="16">
        <f t="shared" si="235"/>
        <v>2090.666666666667</v>
      </c>
      <c r="DT31" s="16">
        <f t="shared" si="235"/>
        <v>1568.0000000000002</v>
      </c>
      <c r="DU31" s="16">
        <f t="shared" si="235"/>
        <v>1045.3333333333335</v>
      </c>
      <c r="DV31" s="16">
        <f t="shared" si="235"/>
        <v>522.66666666666674</v>
      </c>
      <c r="DW31" s="16">
        <f t="shared" si="235"/>
        <v>0</v>
      </c>
      <c r="DX31" s="16">
        <f t="shared" si="235"/>
        <v>522.66666666666674</v>
      </c>
      <c r="DY31" s="16">
        <f t="shared" si="235"/>
        <v>1045.3333333333333</v>
      </c>
      <c r="DZ31" s="16">
        <f t="shared" si="235"/>
        <v>1567.9999999999998</v>
      </c>
      <c r="EA31" s="16">
        <f t="shared" si="235"/>
        <v>2090.6666666666665</v>
      </c>
      <c r="EB31" s="16">
        <f t="shared" ref="EB31:FO31" si="236">EB6+EB13-EB19-EB25</f>
        <v>2613.3333333333335</v>
      </c>
      <c r="EC31" s="16">
        <f t="shared" si="236"/>
        <v>3136.0000000000005</v>
      </c>
      <c r="ED31" s="16">
        <f t="shared" si="236"/>
        <v>2613.3333333333339</v>
      </c>
      <c r="EE31" s="16">
        <f t="shared" si="236"/>
        <v>2090.666666666667</v>
      </c>
      <c r="EF31" s="16">
        <f t="shared" si="236"/>
        <v>1568.0000000000002</v>
      </c>
      <c r="EG31" s="16">
        <f t="shared" si="236"/>
        <v>1045.3333333333335</v>
      </c>
      <c r="EH31" s="16">
        <f t="shared" si="236"/>
        <v>522.66666666666674</v>
      </c>
      <c r="EI31" s="16">
        <f t="shared" si="236"/>
        <v>0</v>
      </c>
      <c r="EJ31" s="16">
        <f t="shared" si="236"/>
        <v>522.66666666666674</v>
      </c>
      <c r="EK31" s="16">
        <f t="shared" si="236"/>
        <v>1045.3333333333333</v>
      </c>
      <c r="EL31" s="16">
        <f t="shared" si="236"/>
        <v>1567.9999999999998</v>
      </c>
      <c r="EM31" s="16">
        <f t="shared" si="236"/>
        <v>2090.6666666666665</v>
      </c>
      <c r="EN31" s="16">
        <f t="shared" si="236"/>
        <v>2613.3333333333335</v>
      </c>
      <c r="EO31" s="16">
        <f t="shared" si="236"/>
        <v>3136.0000000000005</v>
      </c>
      <c r="EP31" s="16">
        <f t="shared" si="236"/>
        <v>2613.3333333333339</v>
      </c>
      <c r="EQ31" s="16">
        <f t="shared" si="236"/>
        <v>2090.666666666667</v>
      </c>
      <c r="ER31" s="16">
        <f t="shared" si="236"/>
        <v>1568.0000000000002</v>
      </c>
      <c r="ES31" s="16">
        <f t="shared" si="236"/>
        <v>1045.3333333333335</v>
      </c>
      <c r="ET31" s="16">
        <f t="shared" si="236"/>
        <v>522.66666666666674</v>
      </c>
      <c r="EU31" s="16">
        <f t="shared" si="236"/>
        <v>0</v>
      </c>
      <c r="EV31" s="16">
        <f t="shared" si="236"/>
        <v>522.66666666666674</v>
      </c>
      <c r="EW31" s="16">
        <f t="shared" si="236"/>
        <v>1045.3333333333333</v>
      </c>
      <c r="EX31" s="16">
        <f t="shared" si="236"/>
        <v>1567.9999999999998</v>
      </c>
      <c r="EY31" s="16">
        <f t="shared" si="236"/>
        <v>2090.6666666666665</v>
      </c>
      <c r="EZ31" s="16">
        <f t="shared" si="236"/>
        <v>2613.3333333333335</v>
      </c>
      <c r="FA31" s="16">
        <f t="shared" si="236"/>
        <v>3136.0000000000005</v>
      </c>
      <c r="FB31" s="16">
        <f t="shared" si="236"/>
        <v>2613.3333333333339</v>
      </c>
      <c r="FC31" s="16">
        <f t="shared" si="236"/>
        <v>2090.666666666667</v>
      </c>
      <c r="FD31" s="16">
        <f t="shared" si="236"/>
        <v>1568.0000000000002</v>
      </c>
      <c r="FE31" s="16">
        <f t="shared" si="236"/>
        <v>1045.3333333333335</v>
      </c>
      <c r="FF31" s="16">
        <f t="shared" si="236"/>
        <v>522.66666666666674</v>
      </c>
      <c r="FG31" s="16">
        <f t="shared" si="236"/>
        <v>0</v>
      </c>
      <c r="FH31" s="16">
        <f t="shared" si="236"/>
        <v>522.66666666666674</v>
      </c>
      <c r="FI31" s="16">
        <f t="shared" si="236"/>
        <v>1045.3333333333333</v>
      </c>
      <c r="FJ31" s="16">
        <f t="shared" si="236"/>
        <v>1567.9999999999998</v>
      </c>
      <c r="FK31" s="16">
        <f t="shared" si="236"/>
        <v>2090.6666666666665</v>
      </c>
      <c r="FL31" s="16">
        <f t="shared" si="236"/>
        <v>2613.3333333333335</v>
      </c>
      <c r="FM31" s="16">
        <f t="shared" si="236"/>
        <v>3136.0000000000005</v>
      </c>
      <c r="FN31" s="16">
        <f t="shared" si="236"/>
        <v>2613.3333333333339</v>
      </c>
      <c r="FO31" s="16">
        <f t="shared" si="236"/>
        <v>2090.666666666667</v>
      </c>
    </row>
    <row r="32" spans="1:171">
      <c r="A32" s="87" t="s">
        <v>148</v>
      </c>
      <c r="B32" s="16">
        <f t="shared" ref="B32" si="237">SUM(B28:B31)</f>
        <v>13066.66666666667</v>
      </c>
      <c r="C32" s="16">
        <f t="shared" ref="C32" si="238">SUM(C28:C31)</f>
        <v>26133.333333333332</v>
      </c>
      <c r="D32" s="16">
        <f t="shared" ref="D32:BO32" si="239">SUM(D28:D31)</f>
        <v>39200</v>
      </c>
      <c r="E32" s="16">
        <f t="shared" si="239"/>
        <v>26133.333333333328</v>
      </c>
      <c r="F32" s="16">
        <f t="shared" si="239"/>
        <v>13066.666666666664</v>
      </c>
      <c r="G32" s="16">
        <f t="shared" si="239"/>
        <v>0</v>
      </c>
      <c r="H32" s="16">
        <f t="shared" si="239"/>
        <v>6533.3333333333348</v>
      </c>
      <c r="I32" s="16">
        <f t="shared" si="239"/>
        <v>13066.666666666666</v>
      </c>
      <c r="J32" s="16">
        <f t="shared" si="239"/>
        <v>19600</v>
      </c>
      <c r="K32" s="16">
        <f t="shared" si="239"/>
        <v>26133.333333333332</v>
      </c>
      <c r="L32" s="16">
        <f t="shared" si="239"/>
        <v>32666.666666666668</v>
      </c>
      <c r="M32" s="16">
        <f t="shared" si="239"/>
        <v>39200</v>
      </c>
      <c r="N32" s="16">
        <f t="shared" si="239"/>
        <v>32666.666666666672</v>
      </c>
      <c r="O32" s="16">
        <f t="shared" si="239"/>
        <v>26133.333333333339</v>
      </c>
      <c r="P32" s="16">
        <f t="shared" si="239"/>
        <v>19600</v>
      </c>
      <c r="Q32" s="16">
        <f t="shared" si="239"/>
        <v>13066.66666666667</v>
      </c>
      <c r="R32" s="16">
        <f t="shared" si="239"/>
        <v>6533.3333333333348</v>
      </c>
      <c r="S32" s="16">
        <f t="shared" si="239"/>
        <v>0</v>
      </c>
      <c r="T32" s="16">
        <f t="shared" si="239"/>
        <v>6533.3333333333348</v>
      </c>
      <c r="U32" s="16">
        <f t="shared" si="239"/>
        <v>13066.666666666666</v>
      </c>
      <c r="V32" s="16">
        <f t="shared" si="239"/>
        <v>19600</v>
      </c>
      <c r="W32" s="16">
        <f t="shared" si="239"/>
        <v>26133.333333333332</v>
      </c>
      <c r="X32" s="16">
        <f t="shared" si="239"/>
        <v>32666.666666666668</v>
      </c>
      <c r="Y32" s="16">
        <f t="shared" si="239"/>
        <v>39200</v>
      </c>
      <c r="Z32" s="16">
        <f t="shared" si="239"/>
        <v>32666.666666666672</v>
      </c>
      <c r="AA32" s="16">
        <f t="shared" si="239"/>
        <v>26133.333333333339</v>
      </c>
      <c r="AB32" s="16">
        <f t="shared" si="239"/>
        <v>19600</v>
      </c>
      <c r="AC32" s="16">
        <f t="shared" si="239"/>
        <v>13066.66666666667</v>
      </c>
      <c r="AD32" s="16">
        <f t="shared" si="239"/>
        <v>6533.3333333333348</v>
      </c>
      <c r="AE32" s="16">
        <f t="shared" si="239"/>
        <v>0</v>
      </c>
      <c r="AF32" s="16">
        <f t="shared" si="239"/>
        <v>6533.3333333333348</v>
      </c>
      <c r="AG32" s="16">
        <f t="shared" si="239"/>
        <v>13066.666666666666</v>
      </c>
      <c r="AH32" s="16">
        <f t="shared" si="239"/>
        <v>19600</v>
      </c>
      <c r="AI32" s="16">
        <f t="shared" si="239"/>
        <v>26133.333333333332</v>
      </c>
      <c r="AJ32" s="16">
        <f t="shared" si="239"/>
        <v>32666.666666666668</v>
      </c>
      <c r="AK32" s="16">
        <f t="shared" si="239"/>
        <v>39200</v>
      </c>
      <c r="AL32" s="16">
        <f t="shared" si="239"/>
        <v>32666.666666666672</v>
      </c>
      <c r="AM32" s="16">
        <f t="shared" si="239"/>
        <v>26133.333333333339</v>
      </c>
      <c r="AN32" s="16">
        <f t="shared" si="239"/>
        <v>19600</v>
      </c>
      <c r="AO32" s="16">
        <f t="shared" si="239"/>
        <v>13066.66666666667</v>
      </c>
      <c r="AP32" s="16">
        <f t="shared" si="239"/>
        <v>6533.3333333333348</v>
      </c>
      <c r="AQ32" s="16">
        <f t="shared" si="239"/>
        <v>0</v>
      </c>
      <c r="AR32" s="16">
        <f t="shared" si="239"/>
        <v>6533.3333333333348</v>
      </c>
      <c r="AS32" s="16">
        <f t="shared" si="239"/>
        <v>13066.666666666666</v>
      </c>
      <c r="AT32" s="16">
        <f t="shared" si="239"/>
        <v>19600</v>
      </c>
      <c r="AU32" s="16">
        <f t="shared" si="239"/>
        <v>26133.333333333332</v>
      </c>
      <c r="AV32" s="16">
        <f t="shared" si="239"/>
        <v>32666.666666666668</v>
      </c>
      <c r="AW32" s="16">
        <f t="shared" si="239"/>
        <v>39200</v>
      </c>
      <c r="AX32" s="16">
        <f t="shared" si="239"/>
        <v>32666.666666666672</v>
      </c>
      <c r="AY32" s="16">
        <f t="shared" si="239"/>
        <v>26133.333333333339</v>
      </c>
      <c r="AZ32" s="16">
        <f t="shared" si="239"/>
        <v>19600</v>
      </c>
      <c r="BA32" s="16">
        <f t="shared" si="239"/>
        <v>13066.66666666667</v>
      </c>
      <c r="BB32" s="16">
        <f t="shared" si="239"/>
        <v>6533.3333333333348</v>
      </c>
      <c r="BC32" s="16">
        <f t="shared" si="239"/>
        <v>0</v>
      </c>
      <c r="BD32" s="16">
        <f t="shared" si="239"/>
        <v>6533.3333333333348</v>
      </c>
      <c r="BE32" s="16">
        <f t="shared" si="239"/>
        <v>13066.666666666666</v>
      </c>
      <c r="BF32" s="16">
        <f t="shared" si="239"/>
        <v>19600</v>
      </c>
      <c r="BG32" s="16">
        <f t="shared" si="239"/>
        <v>26133.333333333332</v>
      </c>
      <c r="BH32" s="16">
        <f t="shared" si="239"/>
        <v>32666.666666666668</v>
      </c>
      <c r="BI32" s="16">
        <f t="shared" si="239"/>
        <v>39200</v>
      </c>
      <c r="BJ32" s="16">
        <f t="shared" si="239"/>
        <v>32666.666666666672</v>
      </c>
      <c r="BK32" s="16">
        <f t="shared" si="239"/>
        <v>26133.333333333339</v>
      </c>
      <c r="BL32" s="16">
        <f t="shared" si="239"/>
        <v>19600</v>
      </c>
      <c r="BM32" s="16">
        <f t="shared" si="239"/>
        <v>13066.66666666667</v>
      </c>
      <c r="BN32" s="16">
        <f t="shared" si="239"/>
        <v>6533.3333333333348</v>
      </c>
      <c r="BO32" s="16">
        <f t="shared" si="239"/>
        <v>0</v>
      </c>
      <c r="BP32" s="16">
        <f t="shared" ref="BP32:EA32" si="240">SUM(BP28:BP31)</f>
        <v>6533.3333333333348</v>
      </c>
      <c r="BQ32" s="16">
        <f t="shared" si="240"/>
        <v>13066.666666666666</v>
      </c>
      <c r="BR32" s="16">
        <f t="shared" si="240"/>
        <v>19600</v>
      </c>
      <c r="BS32" s="16">
        <f t="shared" si="240"/>
        <v>26133.333333333332</v>
      </c>
      <c r="BT32" s="16">
        <f t="shared" si="240"/>
        <v>32666.666666666668</v>
      </c>
      <c r="BU32" s="16">
        <f t="shared" si="240"/>
        <v>39200</v>
      </c>
      <c r="BV32" s="16">
        <f t="shared" si="240"/>
        <v>32666.666666666672</v>
      </c>
      <c r="BW32" s="16">
        <f t="shared" si="240"/>
        <v>26133.333333333339</v>
      </c>
      <c r="BX32" s="16">
        <f t="shared" si="240"/>
        <v>19600</v>
      </c>
      <c r="BY32" s="16">
        <f t="shared" si="240"/>
        <v>13066.66666666667</v>
      </c>
      <c r="BZ32" s="16">
        <f t="shared" si="240"/>
        <v>6533.3333333333348</v>
      </c>
      <c r="CA32" s="16">
        <f t="shared" si="240"/>
        <v>0</v>
      </c>
      <c r="CB32" s="16">
        <f t="shared" si="240"/>
        <v>6533.3333333333348</v>
      </c>
      <c r="CC32" s="16">
        <f t="shared" si="240"/>
        <v>13066.666666666666</v>
      </c>
      <c r="CD32" s="16">
        <f t="shared" si="240"/>
        <v>19600</v>
      </c>
      <c r="CE32" s="16">
        <f t="shared" si="240"/>
        <v>26133.333333333332</v>
      </c>
      <c r="CF32" s="16">
        <f t="shared" si="240"/>
        <v>32666.666666666668</v>
      </c>
      <c r="CG32" s="16">
        <f t="shared" si="240"/>
        <v>39200</v>
      </c>
      <c r="CH32" s="16">
        <f t="shared" si="240"/>
        <v>32666.666666666672</v>
      </c>
      <c r="CI32" s="16">
        <f t="shared" si="240"/>
        <v>26133.333333333339</v>
      </c>
      <c r="CJ32" s="16">
        <f t="shared" si="240"/>
        <v>19600</v>
      </c>
      <c r="CK32" s="16">
        <f t="shared" si="240"/>
        <v>13066.66666666667</v>
      </c>
      <c r="CL32" s="16">
        <f t="shared" si="240"/>
        <v>6533.3333333333348</v>
      </c>
      <c r="CM32" s="16">
        <f t="shared" si="240"/>
        <v>0</v>
      </c>
      <c r="CN32" s="16">
        <f t="shared" si="240"/>
        <v>6533.3333333333348</v>
      </c>
      <c r="CO32" s="16">
        <f t="shared" si="240"/>
        <v>13066.666666666666</v>
      </c>
      <c r="CP32" s="16">
        <f t="shared" si="240"/>
        <v>19600</v>
      </c>
      <c r="CQ32" s="16">
        <f t="shared" si="240"/>
        <v>26133.333333333332</v>
      </c>
      <c r="CR32" s="16">
        <f t="shared" si="240"/>
        <v>32666.666666666668</v>
      </c>
      <c r="CS32" s="16">
        <f t="shared" si="240"/>
        <v>39200</v>
      </c>
      <c r="CT32" s="16">
        <f t="shared" si="240"/>
        <v>32666.666666666672</v>
      </c>
      <c r="CU32" s="16">
        <f t="shared" si="240"/>
        <v>26133.333333333339</v>
      </c>
      <c r="CV32" s="16">
        <f t="shared" si="240"/>
        <v>19600</v>
      </c>
      <c r="CW32" s="16">
        <f t="shared" si="240"/>
        <v>13066.66666666667</v>
      </c>
      <c r="CX32" s="16">
        <f t="shared" si="240"/>
        <v>6533.3333333333348</v>
      </c>
      <c r="CY32" s="16">
        <f t="shared" si="240"/>
        <v>0</v>
      </c>
      <c r="CZ32" s="16">
        <f t="shared" si="240"/>
        <v>6533.3333333333348</v>
      </c>
      <c r="DA32" s="16">
        <f t="shared" si="240"/>
        <v>13066.666666666666</v>
      </c>
      <c r="DB32" s="16">
        <f t="shared" si="240"/>
        <v>19600</v>
      </c>
      <c r="DC32" s="16">
        <f t="shared" si="240"/>
        <v>26133.333333333332</v>
      </c>
      <c r="DD32" s="16">
        <f t="shared" si="240"/>
        <v>32666.666666666668</v>
      </c>
      <c r="DE32" s="16">
        <f t="shared" si="240"/>
        <v>39200</v>
      </c>
      <c r="DF32" s="16">
        <f t="shared" si="240"/>
        <v>32666.666666666672</v>
      </c>
      <c r="DG32" s="16">
        <f t="shared" si="240"/>
        <v>26133.333333333339</v>
      </c>
      <c r="DH32" s="16">
        <f t="shared" si="240"/>
        <v>19600</v>
      </c>
      <c r="DI32" s="16">
        <f t="shared" si="240"/>
        <v>13066.66666666667</v>
      </c>
      <c r="DJ32" s="16">
        <f t="shared" si="240"/>
        <v>6533.3333333333348</v>
      </c>
      <c r="DK32" s="16">
        <f t="shared" si="240"/>
        <v>0</v>
      </c>
      <c r="DL32" s="16">
        <f t="shared" si="240"/>
        <v>6533.3333333333348</v>
      </c>
      <c r="DM32" s="16">
        <f t="shared" si="240"/>
        <v>13066.666666666666</v>
      </c>
      <c r="DN32" s="16">
        <f t="shared" si="240"/>
        <v>19600</v>
      </c>
      <c r="DO32" s="16">
        <f t="shared" si="240"/>
        <v>26133.333333333332</v>
      </c>
      <c r="DP32" s="16">
        <f t="shared" si="240"/>
        <v>32666.666666666668</v>
      </c>
      <c r="DQ32" s="16">
        <f t="shared" si="240"/>
        <v>39200</v>
      </c>
      <c r="DR32" s="16">
        <f t="shared" si="240"/>
        <v>32666.666666666672</v>
      </c>
      <c r="DS32" s="16">
        <f t="shared" si="240"/>
        <v>26133.333333333339</v>
      </c>
      <c r="DT32" s="16">
        <f t="shared" si="240"/>
        <v>19600</v>
      </c>
      <c r="DU32" s="16">
        <f t="shared" si="240"/>
        <v>13066.66666666667</v>
      </c>
      <c r="DV32" s="16">
        <f t="shared" si="240"/>
        <v>6533.3333333333348</v>
      </c>
      <c r="DW32" s="16">
        <f t="shared" si="240"/>
        <v>0</v>
      </c>
      <c r="DX32" s="16">
        <f t="shared" si="240"/>
        <v>6533.3333333333348</v>
      </c>
      <c r="DY32" s="16">
        <f t="shared" si="240"/>
        <v>13066.666666666666</v>
      </c>
      <c r="DZ32" s="16">
        <f t="shared" si="240"/>
        <v>19600</v>
      </c>
      <c r="EA32" s="16">
        <f t="shared" si="240"/>
        <v>26133.333333333332</v>
      </c>
      <c r="EB32" s="16">
        <f t="shared" ref="EB32:FO32" si="241">SUM(EB28:EB31)</f>
        <v>32666.666666666668</v>
      </c>
      <c r="EC32" s="16">
        <f t="shared" si="241"/>
        <v>39200</v>
      </c>
      <c r="ED32" s="16">
        <f t="shared" si="241"/>
        <v>32666.666666666672</v>
      </c>
      <c r="EE32" s="16">
        <f t="shared" si="241"/>
        <v>26133.333333333339</v>
      </c>
      <c r="EF32" s="16">
        <f t="shared" si="241"/>
        <v>19600</v>
      </c>
      <c r="EG32" s="16">
        <f t="shared" si="241"/>
        <v>13066.66666666667</v>
      </c>
      <c r="EH32" s="16">
        <f t="shared" si="241"/>
        <v>6533.3333333333348</v>
      </c>
      <c r="EI32" s="16">
        <f t="shared" si="241"/>
        <v>0</v>
      </c>
      <c r="EJ32" s="16">
        <f t="shared" si="241"/>
        <v>6533.3333333333348</v>
      </c>
      <c r="EK32" s="16">
        <f t="shared" si="241"/>
        <v>13066.666666666666</v>
      </c>
      <c r="EL32" s="16">
        <f t="shared" si="241"/>
        <v>19600</v>
      </c>
      <c r="EM32" s="16">
        <f t="shared" si="241"/>
        <v>26133.333333333332</v>
      </c>
      <c r="EN32" s="16">
        <f t="shared" si="241"/>
        <v>32666.666666666668</v>
      </c>
      <c r="EO32" s="16">
        <f t="shared" si="241"/>
        <v>39200</v>
      </c>
      <c r="EP32" s="16">
        <f t="shared" si="241"/>
        <v>32666.666666666672</v>
      </c>
      <c r="EQ32" s="16">
        <f t="shared" si="241"/>
        <v>26133.333333333339</v>
      </c>
      <c r="ER32" s="16">
        <f t="shared" si="241"/>
        <v>19600</v>
      </c>
      <c r="ES32" s="16">
        <f t="shared" si="241"/>
        <v>13066.66666666667</v>
      </c>
      <c r="ET32" s="16">
        <f t="shared" si="241"/>
        <v>6533.3333333333348</v>
      </c>
      <c r="EU32" s="16">
        <f t="shared" si="241"/>
        <v>0</v>
      </c>
      <c r="EV32" s="16">
        <f t="shared" si="241"/>
        <v>6533.3333333333348</v>
      </c>
      <c r="EW32" s="16">
        <f t="shared" si="241"/>
        <v>13066.666666666666</v>
      </c>
      <c r="EX32" s="16">
        <f t="shared" si="241"/>
        <v>19600</v>
      </c>
      <c r="EY32" s="16">
        <f t="shared" si="241"/>
        <v>26133.333333333332</v>
      </c>
      <c r="EZ32" s="16">
        <f t="shared" si="241"/>
        <v>32666.666666666668</v>
      </c>
      <c r="FA32" s="16">
        <f t="shared" si="241"/>
        <v>39200</v>
      </c>
      <c r="FB32" s="16">
        <f t="shared" si="241"/>
        <v>32666.666666666672</v>
      </c>
      <c r="FC32" s="16">
        <f t="shared" si="241"/>
        <v>26133.333333333339</v>
      </c>
      <c r="FD32" s="16">
        <f t="shared" si="241"/>
        <v>19600</v>
      </c>
      <c r="FE32" s="16">
        <f t="shared" si="241"/>
        <v>13066.66666666667</v>
      </c>
      <c r="FF32" s="16">
        <f t="shared" si="241"/>
        <v>6533.3333333333348</v>
      </c>
      <c r="FG32" s="16">
        <f t="shared" si="241"/>
        <v>0</v>
      </c>
      <c r="FH32" s="16">
        <f t="shared" si="241"/>
        <v>6533.3333333333348</v>
      </c>
      <c r="FI32" s="16">
        <f t="shared" si="241"/>
        <v>13066.666666666666</v>
      </c>
      <c r="FJ32" s="16">
        <f t="shared" si="241"/>
        <v>19600</v>
      </c>
      <c r="FK32" s="16">
        <f t="shared" si="241"/>
        <v>26133.333333333332</v>
      </c>
      <c r="FL32" s="16">
        <f t="shared" si="241"/>
        <v>32666.666666666668</v>
      </c>
      <c r="FM32" s="16">
        <f t="shared" si="241"/>
        <v>39200</v>
      </c>
      <c r="FN32" s="16">
        <f t="shared" si="241"/>
        <v>32666.666666666672</v>
      </c>
      <c r="FO32" s="16">
        <f t="shared" si="241"/>
        <v>26133.333333333339</v>
      </c>
    </row>
    <row r="33" spans="1:171">
      <c r="A33" s="87" t="s">
        <v>142</v>
      </c>
      <c r="B33" s="40">
        <f>B32/Предпосылки!$B$42</f>
        <v>0.32666666666666672</v>
      </c>
      <c r="C33" s="40">
        <f>C32/Предпосылки!$B$42</f>
        <v>0.65333333333333332</v>
      </c>
      <c r="D33" s="40">
        <f>D32/Предпосылки!$B$42</f>
        <v>0.98</v>
      </c>
      <c r="E33" s="40">
        <f>E32/Предпосылки!$B$42</f>
        <v>0.65333333333333321</v>
      </c>
      <c r="F33" s="40">
        <f>F32/Предпосылки!$B$42</f>
        <v>0.32666666666666661</v>
      </c>
      <c r="G33" s="40">
        <f>G32/Предпосылки!$B$42</f>
        <v>0</v>
      </c>
      <c r="H33" s="40">
        <f>H32/Предпосылки!$B$42</f>
        <v>0.16333333333333336</v>
      </c>
      <c r="I33" s="40">
        <f>I32/Предпосылки!$B$42</f>
        <v>0.32666666666666666</v>
      </c>
      <c r="J33" s="40">
        <f>J32/Предпосылки!$B$42</f>
        <v>0.49</v>
      </c>
      <c r="K33" s="40">
        <f>K32/Предпосылки!$B$42</f>
        <v>0.65333333333333332</v>
      </c>
      <c r="L33" s="40">
        <f>L32/Предпосылки!$B$42</f>
        <v>0.81666666666666665</v>
      </c>
      <c r="M33" s="40">
        <f>M32/Предпосылки!$B$42</f>
        <v>0.98</v>
      </c>
      <c r="N33" s="40">
        <f>N32/Предпосылки!$B$42</f>
        <v>0.81666666666666676</v>
      </c>
      <c r="O33" s="40">
        <f>O32/Предпосылки!$B$42</f>
        <v>0.65333333333333343</v>
      </c>
      <c r="P33" s="40">
        <f>P32/Предпосылки!$B$42</f>
        <v>0.49</v>
      </c>
      <c r="Q33" s="40">
        <f>Q32/Предпосылки!$B$42</f>
        <v>0.32666666666666672</v>
      </c>
      <c r="R33" s="40">
        <f>R32/Предпосылки!$B$42</f>
        <v>0.16333333333333336</v>
      </c>
      <c r="S33" s="40">
        <f>S32/Предпосылки!$B$42</f>
        <v>0</v>
      </c>
      <c r="T33" s="40">
        <f>T32/Предпосылки!$B$42</f>
        <v>0.16333333333333336</v>
      </c>
      <c r="U33" s="40">
        <f>U32/Предпосылки!$B$42</f>
        <v>0.32666666666666666</v>
      </c>
      <c r="V33" s="40">
        <f>V32/Предпосылки!$B$42</f>
        <v>0.49</v>
      </c>
      <c r="W33" s="40">
        <f>W32/Предпосылки!$B$42</f>
        <v>0.65333333333333332</v>
      </c>
      <c r="X33" s="40">
        <f>X32/Предпосылки!$B$42</f>
        <v>0.81666666666666665</v>
      </c>
      <c r="Y33" s="40">
        <f>Y32/Предпосылки!$B$42</f>
        <v>0.98</v>
      </c>
      <c r="Z33" s="40">
        <f>Z32/Предпосылки!$B$42</f>
        <v>0.81666666666666676</v>
      </c>
      <c r="AA33" s="40">
        <f>AA32/Предпосылки!$B$42</f>
        <v>0.65333333333333343</v>
      </c>
      <c r="AB33" s="40">
        <f>AB32/Предпосылки!$B$42</f>
        <v>0.49</v>
      </c>
      <c r="AC33" s="40">
        <f>AC32/Предпосылки!$B$42</f>
        <v>0.32666666666666672</v>
      </c>
      <c r="AD33" s="40">
        <f>AD32/Предпосылки!$B$42</f>
        <v>0.16333333333333336</v>
      </c>
      <c r="AE33" s="40">
        <f>AE32/Предпосылки!$B$42</f>
        <v>0</v>
      </c>
      <c r="AF33" s="40">
        <f>AF32/Предпосылки!$B$42</f>
        <v>0.16333333333333336</v>
      </c>
      <c r="AG33" s="40">
        <f>AG32/Предпосылки!$B$42</f>
        <v>0.32666666666666666</v>
      </c>
      <c r="AH33" s="40">
        <f>AH32/Предпосылки!$B$42</f>
        <v>0.49</v>
      </c>
      <c r="AI33" s="40">
        <f>AI32/Предпосылки!$B$42</f>
        <v>0.65333333333333332</v>
      </c>
      <c r="AJ33" s="40">
        <f>AJ32/Предпосылки!$B$42</f>
        <v>0.81666666666666665</v>
      </c>
      <c r="AK33" s="40">
        <f>AK32/Предпосылки!$B$42</f>
        <v>0.98</v>
      </c>
      <c r="AL33" s="40">
        <f>AL32/Предпосылки!$B$42</f>
        <v>0.81666666666666676</v>
      </c>
      <c r="AM33" s="40">
        <f>AM32/Предпосылки!$B$42</f>
        <v>0.65333333333333343</v>
      </c>
      <c r="AN33" s="40">
        <f>AN32/Предпосылки!$B$42</f>
        <v>0.49</v>
      </c>
      <c r="AO33" s="40">
        <f>AO32/Предпосылки!$B$42</f>
        <v>0.32666666666666672</v>
      </c>
      <c r="AP33" s="40">
        <f>AP32/Предпосылки!$B$42</f>
        <v>0.16333333333333336</v>
      </c>
      <c r="AQ33" s="40">
        <f>AQ32/Предпосылки!$B$42</f>
        <v>0</v>
      </c>
      <c r="AR33" s="40">
        <f>AR32/Предпосылки!$B$42</f>
        <v>0.16333333333333336</v>
      </c>
      <c r="AS33" s="40">
        <f>AS32/Предпосылки!$B$42</f>
        <v>0.32666666666666666</v>
      </c>
      <c r="AT33" s="40">
        <f>AT32/Предпосылки!$B$42</f>
        <v>0.49</v>
      </c>
      <c r="AU33" s="40">
        <f>AU32/Предпосылки!$B$42</f>
        <v>0.65333333333333332</v>
      </c>
      <c r="AV33" s="40">
        <f>AV32/Предпосылки!$B$42</f>
        <v>0.81666666666666665</v>
      </c>
      <c r="AW33" s="40">
        <f>AW32/Предпосылки!$B$42</f>
        <v>0.98</v>
      </c>
      <c r="AX33" s="40">
        <f>AX32/Предпосылки!$B$42</f>
        <v>0.81666666666666676</v>
      </c>
      <c r="AY33" s="40">
        <f>AY32/Предпосылки!$B$42</f>
        <v>0.65333333333333343</v>
      </c>
      <c r="AZ33" s="40">
        <f>AZ32/Предпосылки!$B$42</f>
        <v>0.49</v>
      </c>
      <c r="BA33" s="40">
        <f>BA32/Предпосылки!$B$42</f>
        <v>0.32666666666666672</v>
      </c>
      <c r="BB33" s="40">
        <f>BB32/Предпосылки!$B$42</f>
        <v>0.16333333333333336</v>
      </c>
      <c r="BC33" s="40">
        <f>BC32/Предпосылки!$B$42</f>
        <v>0</v>
      </c>
      <c r="BD33" s="40">
        <f>BD32/Предпосылки!$B$42</f>
        <v>0.16333333333333336</v>
      </c>
      <c r="BE33" s="40">
        <f>BE32/Предпосылки!$B$42</f>
        <v>0.32666666666666666</v>
      </c>
      <c r="BF33" s="40">
        <f>BF32/Предпосылки!$B$42</f>
        <v>0.49</v>
      </c>
      <c r="BG33" s="40">
        <f>BG32/Предпосылки!$B$42</f>
        <v>0.65333333333333332</v>
      </c>
      <c r="BH33" s="40">
        <f>BH32/Предпосылки!$B$42</f>
        <v>0.81666666666666665</v>
      </c>
      <c r="BI33" s="40">
        <f>BI32/Предпосылки!$B$42</f>
        <v>0.98</v>
      </c>
      <c r="BJ33" s="40">
        <f>BJ32/Предпосылки!$B$42</f>
        <v>0.81666666666666676</v>
      </c>
      <c r="BK33" s="40">
        <f>BK32/Предпосылки!$B$42</f>
        <v>0.65333333333333343</v>
      </c>
      <c r="BL33" s="40">
        <f>BL32/Предпосылки!$B$42</f>
        <v>0.49</v>
      </c>
      <c r="BM33" s="40">
        <f>BM32/Предпосылки!$B$42</f>
        <v>0.32666666666666672</v>
      </c>
      <c r="BN33" s="40">
        <f>BN32/Предпосылки!$B$42</f>
        <v>0.16333333333333336</v>
      </c>
      <c r="BO33" s="40">
        <f>BO32/Предпосылки!$B$42</f>
        <v>0</v>
      </c>
      <c r="BP33" s="40">
        <f>BP32/Предпосылки!$B$42</f>
        <v>0.16333333333333336</v>
      </c>
      <c r="BQ33" s="40">
        <f>BQ32/Предпосылки!$B$42</f>
        <v>0.32666666666666666</v>
      </c>
      <c r="BR33" s="40">
        <f>BR32/Предпосылки!$B$42</f>
        <v>0.49</v>
      </c>
      <c r="BS33" s="40">
        <f>BS32/Предпосылки!$B$42</f>
        <v>0.65333333333333332</v>
      </c>
      <c r="BT33" s="40">
        <f>BT32/Предпосылки!$B$42</f>
        <v>0.81666666666666665</v>
      </c>
      <c r="BU33" s="40">
        <f>BU32/Предпосылки!$B$42</f>
        <v>0.98</v>
      </c>
      <c r="BV33" s="40">
        <f>BV32/Предпосылки!$B$42</f>
        <v>0.81666666666666676</v>
      </c>
      <c r="BW33" s="40">
        <f>BW32/Предпосылки!$B$42</f>
        <v>0.65333333333333343</v>
      </c>
      <c r="BX33" s="40">
        <f>BX32/Предпосылки!$B$42</f>
        <v>0.49</v>
      </c>
      <c r="BY33" s="40">
        <f>BY32/Предпосылки!$B$42</f>
        <v>0.32666666666666672</v>
      </c>
      <c r="BZ33" s="40">
        <f>BZ32/Предпосылки!$B$42</f>
        <v>0.16333333333333336</v>
      </c>
      <c r="CA33" s="40">
        <f>CA32/Предпосылки!$B$42</f>
        <v>0</v>
      </c>
      <c r="CB33" s="40">
        <f>CB32/Предпосылки!$B$42</f>
        <v>0.16333333333333336</v>
      </c>
      <c r="CC33" s="40">
        <f>CC32/Предпосылки!$B$42</f>
        <v>0.32666666666666666</v>
      </c>
      <c r="CD33" s="40">
        <f>CD32/Предпосылки!$B$42</f>
        <v>0.49</v>
      </c>
      <c r="CE33" s="40">
        <f>CE32/Предпосылки!$B$42</f>
        <v>0.65333333333333332</v>
      </c>
      <c r="CF33" s="40">
        <f>CF32/Предпосылки!$B$42</f>
        <v>0.81666666666666665</v>
      </c>
      <c r="CG33" s="40">
        <f>CG32/Предпосылки!$B$42</f>
        <v>0.98</v>
      </c>
      <c r="CH33" s="40">
        <f>CH32/Предпосылки!$B$42</f>
        <v>0.81666666666666676</v>
      </c>
      <c r="CI33" s="40">
        <f>CI32/Предпосылки!$B$42</f>
        <v>0.65333333333333343</v>
      </c>
      <c r="CJ33" s="40">
        <f>CJ32/Предпосылки!$B$42</f>
        <v>0.49</v>
      </c>
      <c r="CK33" s="40">
        <f>CK32/Предпосылки!$B$42</f>
        <v>0.32666666666666672</v>
      </c>
      <c r="CL33" s="40">
        <f>CL32/Предпосылки!$B$42</f>
        <v>0.16333333333333336</v>
      </c>
      <c r="CM33" s="40">
        <f>CM32/Предпосылки!$B$42</f>
        <v>0</v>
      </c>
      <c r="CN33" s="40">
        <f>CN32/Предпосылки!$B$42</f>
        <v>0.16333333333333336</v>
      </c>
      <c r="CO33" s="40">
        <f>CO32/Предпосылки!$B$42</f>
        <v>0.32666666666666666</v>
      </c>
      <c r="CP33" s="40">
        <f>CP32/Предпосылки!$B$42</f>
        <v>0.49</v>
      </c>
      <c r="CQ33" s="40">
        <f>CQ32/Предпосылки!$B$42</f>
        <v>0.65333333333333332</v>
      </c>
      <c r="CR33" s="40">
        <f>CR32/Предпосылки!$B$42</f>
        <v>0.81666666666666665</v>
      </c>
      <c r="CS33" s="40">
        <f>CS32/Предпосылки!$B$42</f>
        <v>0.98</v>
      </c>
      <c r="CT33" s="40">
        <f>CT32/Предпосылки!$B$42</f>
        <v>0.81666666666666676</v>
      </c>
      <c r="CU33" s="40">
        <f>CU32/Предпосылки!$B$42</f>
        <v>0.65333333333333343</v>
      </c>
      <c r="CV33" s="40">
        <f>CV32/Предпосылки!$B$42</f>
        <v>0.49</v>
      </c>
      <c r="CW33" s="40">
        <f>CW32/Предпосылки!$B$42</f>
        <v>0.32666666666666672</v>
      </c>
      <c r="CX33" s="40">
        <f>CX32/Предпосылки!$B$42</f>
        <v>0.16333333333333336</v>
      </c>
      <c r="CY33" s="40">
        <f>CY32/Предпосылки!$B$42</f>
        <v>0</v>
      </c>
      <c r="CZ33" s="40">
        <f>CZ32/Предпосылки!$B$42</f>
        <v>0.16333333333333336</v>
      </c>
      <c r="DA33" s="40">
        <f>DA32/Предпосылки!$B$42</f>
        <v>0.32666666666666666</v>
      </c>
      <c r="DB33" s="40">
        <f>DB32/Предпосылки!$B$42</f>
        <v>0.49</v>
      </c>
      <c r="DC33" s="40">
        <f>DC32/Предпосылки!$B$42</f>
        <v>0.65333333333333332</v>
      </c>
      <c r="DD33" s="40">
        <f>DD32/Предпосылки!$B$42</f>
        <v>0.81666666666666665</v>
      </c>
      <c r="DE33" s="40">
        <f>DE32/Предпосылки!$B$42</f>
        <v>0.98</v>
      </c>
      <c r="DF33" s="40">
        <f>DF32/Предпосылки!$B$42</f>
        <v>0.81666666666666676</v>
      </c>
      <c r="DG33" s="40">
        <f>DG32/Предпосылки!$B$42</f>
        <v>0.65333333333333343</v>
      </c>
      <c r="DH33" s="40">
        <f>DH32/Предпосылки!$B$42</f>
        <v>0.49</v>
      </c>
      <c r="DI33" s="40">
        <f>DI32/Предпосылки!$B$42</f>
        <v>0.32666666666666672</v>
      </c>
      <c r="DJ33" s="40">
        <f>DJ32/Предпосылки!$B$42</f>
        <v>0.16333333333333336</v>
      </c>
      <c r="DK33" s="40">
        <f>DK32/Предпосылки!$B$42</f>
        <v>0</v>
      </c>
      <c r="DL33" s="40">
        <f>DL32/Предпосылки!$B$42</f>
        <v>0.16333333333333336</v>
      </c>
      <c r="DM33" s="40">
        <f>DM32/Предпосылки!$B$42</f>
        <v>0.32666666666666666</v>
      </c>
      <c r="DN33" s="40">
        <f>DN32/Предпосылки!$B$42</f>
        <v>0.49</v>
      </c>
      <c r="DO33" s="40">
        <f>DO32/Предпосылки!$B$42</f>
        <v>0.65333333333333332</v>
      </c>
      <c r="DP33" s="40">
        <f>DP32/Предпосылки!$B$42</f>
        <v>0.81666666666666665</v>
      </c>
      <c r="DQ33" s="40">
        <f>DQ32/Предпосылки!$B$42</f>
        <v>0.98</v>
      </c>
      <c r="DR33" s="40">
        <f>DR32/Предпосылки!$B$42</f>
        <v>0.81666666666666676</v>
      </c>
      <c r="DS33" s="40">
        <f>DS32/Предпосылки!$B$42</f>
        <v>0.65333333333333343</v>
      </c>
      <c r="DT33" s="40">
        <f>DT32/Предпосылки!$B$42</f>
        <v>0.49</v>
      </c>
      <c r="DU33" s="40">
        <f>DU32/Предпосылки!$B$42</f>
        <v>0.32666666666666672</v>
      </c>
      <c r="DV33" s="40">
        <f>DV32/Предпосылки!$B$42</f>
        <v>0.16333333333333336</v>
      </c>
      <c r="DW33" s="40">
        <f>DW32/Предпосылки!$B$42</f>
        <v>0</v>
      </c>
      <c r="DX33" s="40">
        <f>DX32/Предпосылки!$B$42</f>
        <v>0.16333333333333336</v>
      </c>
      <c r="DY33" s="40">
        <f>DY32/Предпосылки!$B$42</f>
        <v>0.32666666666666666</v>
      </c>
      <c r="DZ33" s="40">
        <f>DZ32/Предпосылки!$B$42</f>
        <v>0.49</v>
      </c>
      <c r="EA33" s="40">
        <f>EA32/Предпосылки!$B$42</f>
        <v>0.65333333333333332</v>
      </c>
      <c r="EB33" s="40">
        <f>EB32/Предпосылки!$B$42</f>
        <v>0.81666666666666665</v>
      </c>
      <c r="EC33" s="40">
        <f>EC32/Предпосылки!$B$42</f>
        <v>0.98</v>
      </c>
      <c r="ED33" s="40">
        <f>ED32/Предпосылки!$B$42</f>
        <v>0.81666666666666676</v>
      </c>
      <c r="EE33" s="40">
        <f>EE32/Предпосылки!$B$42</f>
        <v>0.65333333333333343</v>
      </c>
      <c r="EF33" s="40">
        <f>EF32/Предпосылки!$B$42</f>
        <v>0.49</v>
      </c>
      <c r="EG33" s="40">
        <f>EG32/Предпосылки!$B$42</f>
        <v>0.32666666666666672</v>
      </c>
      <c r="EH33" s="40">
        <f>EH32/Предпосылки!$B$42</f>
        <v>0.16333333333333336</v>
      </c>
      <c r="EI33" s="40">
        <f>EI32/Предпосылки!$B$42</f>
        <v>0</v>
      </c>
      <c r="EJ33" s="40">
        <f>EJ32/Предпосылки!$B$42</f>
        <v>0.16333333333333336</v>
      </c>
      <c r="EK33" s="40">
        <f>EK32/Предпосылки!$B$42</f>
        <v>0.32666666666666666</v>
      </c>
      <c r="EL33" s="40">
        <f>EL32/Предпосылки!$B$42</f>
        <v>0.49</v>
      </c>
      <c r="EM33" s="40">
        <f>EM32/Предпосылки!$B$42</f>
        <v>0.65333333333333332</v>
      </c>
      <c r="EN33" s="40">
        <f>EN32/Предпосылки!$B$42</f>
        <v>0.81666666666666665</v>
      </c>
      <c r="EO33" s="40">
        <f>EO32/Предпосылки!$B$42</f>
        <v>0.98</v>
      </c>
      <c r="EP33" s="40">
        <f>EP32/Предпосылки!$B$42</f>
        <v>0.81666666666666676</v>
      </c>
      <c r="EQ33" s="40">
        <f>EQ32/Предпосылки!$B$42</f>
        <v>0.65333333333333343</v>
      </c>
      <c r="ER33" s="40">
        <f>ER32/Предпосылки!$B$42</f>
        <v>0.49</v>
      </c>
      <c r="ES33" s="40">
        <f>ES32/Предпосылки!$B$42</f>
        <v>0.32666666666666672</v>
      </c>
      <c r="ET33" s="40">
        <f>ET32/Предпосылки!$B$42</f>
        <v>0.16333333333333336</v>
      </c>
      <c r="EU33" s="40">
        <f>EU32/Предпосылки!$B$42</f>
        <v>0</v>
      </c>
      <c r="EV33" s="40">
        <f>EV32/Предпосылки!$B$42</f>
        <v>0.16333333333333336</v>
      </c>
      <c r="EW33" s="40">
        <f>EW32/Предпосылки!$B$42</f>
        <v>0.32666666666666666</v>
      </c>
      <c r="EX33" s="40">
        <f>EX32/Предпосылки!$B$42</f>
        <v>0.49</v>
      </c>
      <c r="EY33" s="40">
        <f>EY32/Предпосылки!$B$42</f>
        <v>0.65333333333333332</v>
      </c>
      <c r="EZ33" s="40">
        <f>EZ32/Предпосылки!$B$42</f>
        <v>0.81666666666666665</v>
      </c>
      <c r="FA33" s="40">
        <f>FA32/Предпосылки!$B$42</f>
        <v>0.98</v>
      </c>
      <c r="FB33" s="40">
        <f>FB32/Предпосылки!$B$42</f>
        <v>0.81666666666666676</v>
      </c>
      <c r="FC33" s="40">
        <f>FC32/Предпосылки!$B$42</f>
        <v>0.65333333333333343</v>
      </c>
      <c r="FD33" s="40">
        <f>FD32/Предпосылки!$B$42</f>
        <v>0.49</v>
      </c>
      <c r="FE33" s="40">
        <f>FE32/Предпосылки!$B$42</f>
        <v>0.32666666666666672</v>
      </c>
      <c r="FF33" s="40">
        <f>FF32/Предпосылки!$B$42</f>
        <v>0.16333333333333336</v>
      </c>
      <c r="FG33" s="40">
        <f>FG32/Предпосылки!$B$42</f>
        <v>0</v>
      </c>
      <c r="FH33" s="40">
        <f>FH32/Предпосылки!$B$42</f>
        <v>0.16333333333333336</v>
      </c>
      <c r="FI33" s="40">
        <f>FI32/Предпосылки!$B$42</f>
        <v>0.32666666666666666</v>
      </c>
      <c r="FJ33" s="40">
        <f>FJ32/Предпосылки!$B$42</f>
        <v>0.49</v>
      </c>
      <c r="FK33" s="40">
        <f>FK32/Предпосылки!$B$42</f>
        <v>0.65333333333333332</v>
      </c>
      <c r="FL33" s="40">
        <f>FL32/Предпосылки!$B$42</f>
        <v>0.81666666666666665</v>
      </c>
      <c r="FM33" s="40">
        <f>FM32/Предпосылки!$B$42</f>
        <v>0.98</v>
      </c>
      <c r="FN33" s="40">
        <f>FN32/Предпосылки!$B$42</f>
        <v>0.81666666666666676</v>
      </c>
      <c r="FO33" s="40">
        <f>FO32/Предпосылки!$B$42</f>
        <v>0.65333333333333343</v>
      </c>
    </row>
    <row r="35" spans="1:171">
      <c r="A35" s="87" t="s">
        <v>340</v>
      </c>
      <c r="B35" s="105">
        <f>B10*Цены!L23*(1-Предпосылки!$B$34)*1000</f>
        <v>1822450.4458814082</v>
      </c>
      <c r="C35" s="105">
        <f>C10*Цены!M23*(1-Предпосылки!$B$34)*1000</f>
        <v>1845965.9355056845</v>
      </c>
      <c r="D35" s="105">
        <f>D10*Цены!B23*(1-Предпосылки!$B$34)*1000</f>
        <v>1681357.5081357509</v>
      </c>
      <c r="E35" s="105">
        <f>E10*Цены!C23*(1-Предпосылки!$B$34)*1000</f>
        <v>0</v>
      </c>
      <c r="F35" s="105">
        <f>F10*Цены!D23*(1-Предпосылки!$B$34)*1000</f>
        <v>0</v>
      </c>
      <c r="G35" s="105">
        <f>G10*Цены!E23*(1-Предпосылки!$B$34)*1000</f>
        <v>0</v>
      </c>
      <c r="H35" s="105">
        <f>H10*Цены!F23*(1-Предпосылки!$B$34)*1000</f>
        <v>1140501.2467773973</v>
      </c>
      <c r="I35" s="105">
        <f>I10*Цены!G23*(1-Предпосылки!$B$34)*1000</f>
        <v>1158137.8639956047</v>
      </c>
      <c r="J35" s="105">
        <f>J10*Цены!H23*(1-Предпосылки!$B$34)*1000</f>
        <v>1075833.6503106377</v>
      </c>
      <c r="K35" s="105">
        <f>K10*Цены!I23*(1-Предпосылки!$B$34)*1000</f>
        <v>1028802.6710620852</v>
      </c>
      <c r="L35" s="105">
        <f>L10*Цены!J23*(1-Предпосылки!$B$34)*1000</f>
        <v>940619.58497104922</v>
      </c>
      <c r="M35" s="105">
        <f>M10*Цены!K23*(1-Предпосылки!$B$34)*1000</f>
        <v>905346.35053463513</v>
      </c>
      <c r="N35" s="105">
        <f>N10*Цены!L23*(1-Предпосылки!$B$34)*1000</f>
        <v>0</v>
      </c>
      <c r="O35" s="105">
        <f>O10*Цены!M23*(1-Предпосылки!$B$34)*1000</f>
        <v>0</v>
      </c>
      <c r="P35" s="105">
        <f>P10*Цены!B37*(1-Предпосылки!$B$34)*1000</f>
        <v>0</v>
      </c>
      <c r="Q35" s="105">
        <f>Q10*Цены!C37*(1-Предпосылки!$B$34)*1000</f>
        <v>0</v>
      </c>
      <c r="R35" s="105">
        <f>R10*Цены!D37*(1-Предпосылки!$B$34)*1000</f>
        <v>0</v>
      </c>
      <c r="S35" s="105">
        <f>S10*Цены!E37*(1-Предпосылки!$B$34)*1000</f>
        <v>0</v>
      </c>
      <c r="T35" s="105">
        <f>T10*Цены!F37*(1-Предпосылки!$B$34)*1000</f>
        <v>1300333.1256988058</v>
      </c>
      <c r="U35" s="105">
        <f>U10*Цены!G37*(1-Предпосылки!$B$34)*1000</f>
        <v>1320441.369910643</v>
      </c>
      <c r="V35" s="105">
        <f>V10*Цены!H37*(1-Предпосылки!$B$34)*1000</f>
        <v>1226602.8969220694</v>
      </c>
      <c r="W35" s="105">
        <f>W10*Цены!I37*(1-Предпосылки!$B$34)*1000</f>
        <v>1172980.9123571701</v>
      </c>
      <c r="X35" s="105">
        <f>X10*Цены!J37*(1-Предпосылки!$B$34)*1000</f>
        <v>1072439.6912979842</v>
      </c>
      <c r="Y35" s="105">
        <f>Y10*Цены!K37*(1-Предпосылки!$B$34)*1000</f>
        <v>1032223.2028743098</v>
      </c>
      <c r="Z35" s="105">
        <f>Z10*Цены!L37*(1-Предпосылки!$B$34)*1000</f>
        <v>0</v>
      </c>
      <c r="AA35" s="105">
        <f>AA10*Цены!M37*(1-Предпосылки!$B$34)*1000</f>
        <v>0</v>
      </c>
      <c r="AB35" s="105">
        <f>AB10*Цены!B44*(1-Предпосылки!$B$34)*1000</f>
        <v>0</v>
      </c>
      <c r="AC35" s="105">
        <f>AC10*Цены!C44*(1-Предпосылки!$B$34)*1000</f>
        <v>0</v>
      </c>
      <c r="AD35" s="105">
        <f>AD10*Цены!D44*(1-Предпосылки!$B$34)*1000</f>
        <v>0</v>
      </c>
      <c r="AE35" s="105">
        <f>AE10*Цены!E44*(1-Предпосылки!$B$34)*1000</f>
        <v>0</v>
      </c>
      <c r="AF35" s="105">
        <f>AF10*Цены!F44*(1-Предпосылки!$B$34)*1000</f>
        <v>1371851.44761224</v>
      </c>
      <c r="AG35" s="105">
        <f>AG10*Цены!G44*(1-Предпосылки!$B$34)*1000</f>
        <v>1393065.6452557282</v>
      </c>
      <c r="AH35" s="105">
        <f>AH10*Цены!H44*(1-Предпосылки!$B$34)*1000</f>
        <v>1294066.0562527832</v>
      </c>
      <c r="AI35" s="105">
        <f>AI10*Цены!I44*(1-Предпосылки!$B$34)*1000</f>
        <v>1237494.8625368145</v>
      </c>
      <c r="AJ35" s="105">
        <f>AJ10*Цены!J44*(1-Предпосылки!$B$34)*1000</f>
        <v>1131423.8743193732</v>
      </c>
      <c r="AK35" s="105">
        <f>AK10*Цены!K44*(1-Предпосылки!$B$34)*1000</f>
        <v>1088995.4790323968</v>
      </c>
      <c r="AL35" s="105">
        <f>AL10*Цены!L44*(1-Предпосылки!$B$34)*1000</f>
        <v>0</v>
      </c>
      <c r="AM35" s="105">
        <f>AM10*Цены!M44*(1-Предпосылки!$B$34)*1000</f>
        <v>0</v>
      </c>
      <c r="AN35" s="105">
        <f>AN10*Цены!B51*(1-Предпосылки!$B$34)*1000</f>
        <v>0</v>
      </c>
      <c r="AO35" s="105">
        <f>AO10*Цены!C51*(1-Предпосылки!$B$34)*1000</f>
        <v>0</v>
      </c>
      <c r="AP35" s="105">
        <f>AP10*Цены!D51*(1-Предпосылки!$B$34)*1000</f>
        <v>0</v>
      </c>
      <c r="AQ35" s="105">
        <f>AQ10*Цены!E51*(1-Предпосылки!$B$34)*1000</f>
        <v>0</v>
      </c>
      <c r="AR35" s="105">
        <f>AR10*Цены!F51*(1-Предпосылки!$B$34)*1000</f>
        <v>1447303.2772309133</v>
      </c>
      <c r="AS35" s="105">
        <f>AS10*Цены!G51*(1-Предпосылки!$B$34)*1000</f>
        <v>1469684.255744793</v>
      </c>
      <c r="AT35" s="105">
        <f>AT10*Цены!H51*(1-Предпосылки!$B$34)*1000</f>
        <v>1365239.6893466862</v>
      </c>
      <c r="AU35" s="105">
        <f>AU10*Цены!I51*(1-Предпосылки!$B$34)*1000</f>
        <v>1305557.0799763391</v>
      </c>
      <c r="AV35" s="105">
        <f>AV10*Цены!J51*(1-Предпосылки!$B$34)*1000</f>
        <v>1193652.1874069385</v>
      </c>
      <c r="AW35" s="105">
        <f>AW10*Цены!K51*(1-Предпосылки!$B$34)*1000</f>
        <v>1148890.2303791787</v>
      </c>
      <c r="AX35" s="105">
        <f>AX10*Цены!L51*(1-Предпосылки!$B$34)*1000</f>
        <v>0</v>
      </c>
      <c r="AY35" s="105">
        <f>AY10*Цены!M51*(1-Предпосылки!$B$34)*1000</f>
        <v>0</v>
      </c>
      <c r="AZ35" s="105">
        <f>AZ10*Цены!B58*(1-Предпосылки!$B$34)*1000</f>
        <v>0</v>
      </c>
      <c r="BA35" s="105">
        <f>BA10*Цены!C58*(1-Предпосылки!$B$34)*1000</f>
        <v>0</v>
      </c>
      <c r="BB35" s="105">
        <f>BB10*Цены!D58*(1-Предпосылки!$B$34)*1000</f>
        <v>0</v>
      </c>
      <c r="BC35" s="105">
        <f>BC10*Цены!E58*(1-Предпосылки!$B$34)*1000</f>
        <v>0</v>
      </c>
      <c r="BD35" s="105">
        <f>BD10*Цены!F58*(1-Предпосылки!$B$34)*1000</f>
        <v>1526904.9574786134</v>
      </c>
      <c r="BE35" s="105">
        <f>BE10*Цены!G58*(1-Предпосылки!$B$34)*1000</f>
        <v>1550516.8898107565</v>
      </c>
      <c r="BF35" s="105">
        <f>BF10*Цены!H58*(1-Предпосылки!$B$34)*1000</f>
        <v>1440327.872260754</v>
      </c>
      <c r="BG35" s="105">
        <f>BG10*Цены!I58*(1-Предпосылки!$B$34)*1000</f>
        <v>1377362.7193750378</v>
      </c>
      <c r="BH35" s="105">
        <f>BH10*Цены!J58*(1-Предпосылки!$B$34)*1000</f>
        <v>1259303.05771432</v>
      </c>
      <c r="BI35" s="105">
        <f>BI10*Цены!K58*(1-Предпосылки!$B$34)*1000</f>
        <v>1212079.1930500334</v>
      </c>
      <c r="BJ35" s="105">
        <f>BJ10*Цены!L58*(1-Предпосылки!$B$34)*1000</f>
        <v>0</v>
      </c>
      <c r="BK35" s="105">
        <f>BK10*Цены!M58*(1-Предпосылки!$B$34)*1000</f>
        <v>0</v>
      </c>
      <c r="BL35" s="105">
        <f>BL10*Цены!B65*(1-Предпосылки!$B$34)*1000</f>
        <v>0</v>
      </c>
      <c r="BM35" s="105">
        <f>BM10*Цены!C65*(1-Предпосылки!$B$34)*1000</f>
        <v>0</v>
      </c>
      <c r="BN35" s="105">
        <f>BN10*Цены!D65*(1-Предпосылки!$B$34)*1000</f>
        <v>0</v>
      </c>
      <c r="BO35" s="105">
        <f>BO10*Цены!E65*(1-Предпосылки!$B$34)*1000</f>
        <v>0</v>
      </c>
      <c r="BP35" s="105">
        <f>BP10*Цены!F65*(1-Предпосылки!$B$34)*1000</f>
        <v>1610884.7301399368</v>
      </c>
      <c r="BQ35" s="105">
        <f>BQ10*Цены!G65*(1-Предпосылки!$B$34)*1000</f>
        <v>1635795.3187503484</v>
      </c>
      <c r="BR35" s="105">
        <f>BR10*Цены!H65*(1-Предпосылки!$B$34)*1000</f>
        <v>1519545.9052350954</v>
      </c>
      <c r="BS35" s="105">
        <f>BS10*Цены!I65*(1-Предпосылки!$B$34)*1000</f>
        <v>1453117.6689406645</v>
      </c>
      <c r="BT35" s="105">
        <f>BT10*Цены!J65*(1-Предпосылки!$B$34)*1000</f>
        <v>1328564.7258886073</v>
      </c>
      <c r="BU35" s="105">
        <f>BU10*Цены!K65*(1-Предпосылки!$B$34)*1000</f>
        <v>1278743.5486677852</v>
      </c>
      <c r="BV35" s="105">
        <f>BV10*Цены!L65*(1-Предпосылки!$B$34)*1000</f>
        <v>0</v>
      </c>
      <c r="BW35" s="105">
        <f>BW10*Цены!M65*(1-Предпосылки!$B$34)*1000</f>
        <v>0</v>
      </c>
      <c r="BX35" s="105">
        <f>BX10*Цены!B72*(1-Предпосылки!$B$34)*1000</f>
        <v>0</v>
      </c>
      <c r="BY35" s="105">
        <f>BY10*Цены!C72*(1-Предпосылки!$B$34)*1000</f>
        <v>0</v>
      </c>
      <c r="BZ35" s="105">
        <f>BZ10*Цены!D72*(1-Предпосылки!$B$34)*1000</f>
        <v>0</v>
      </c>
      <c r="CA35" s="105">
        <f>CA10*Цены!E72*(1-Предпосылки!$B$34)*1000</f>
        <v>0</v>
      </c>
      <c r="CB35" s="105">
        <f>CB10*Цены!F72*(1-Предпосылки!$B$34)*1000</f>
        <v>1699483.3902976334</v>
      </c>
      <c r="CC35" s="105">
        <f>CC10*Цены!G72*(1-Предпосылки!$B$34)*1000</f>
        <v>1725764.0612816173</v>
      </c>
      <c r="CD35" s="105">
        <f>CD10*Цены!H72*(1-Предпосылки!$B$34)*1000</f>
        <v>1603120.9300230255</v>
      </c>
      <c r="CE35" s="105">
        <f>CE10*Цены!I72*(1-Предпосылки!$B$34)*1000</f>
        <v>1533039.1407324011</v>
      </c>
      <c r="CF35" s="105">
        <f>CF10*Цены!J72*(1-Предпосылки!$B$34)*1000</f>
        <v>1401635.7858124808</v>
      </c>
      <c r="CG35" s="105">
        <f>CG10*Цены!K72*(1-Предпосылки!$B$34)*1000</f>
        <v>1349074.4438445133</v>
      </c>
      <c r="CH35" s="105">
        <f>CH10*Цены!L72*(1-Предпосылки!$B$34)*1000</f>
        <v>0</v>
      </c>
      <c r="CI35" s="105">
        <f>CI10*Цены!M72*(1-Предпосылки!$B$34)*1000</f>
        <v>0</v>
      </c>
      <c r="CJ35" s="105">
        <f>CJ10*Цены!B79*(1-Предпосылки!$B$34)*1000</f>
        <v>0</v>
      </c>
      <c r="CK35" s="105">
        <f>CK10*Цены!C79*(1-Предпосылки!$B$34)*1000</f>
        <v>0</v>
      </c>
      <c r="CL35" s="105">
        <f>CL10*Цены!D79*(1-Предпосылки!$B$34)*1000</f>
        <v>0</v>
      </c>
      <c r="CM35" s="105">
        <f>CM10*Цены!E79*(1-Предпосылки!$B$34)*1000</f>
        <v>0</v>
      </c>
      <c r="CN35" s="105">
        <f>CN10*Цены!F79*(1-Предпосылки!$B$34)*1000</f>
        <v>1792954.9767640033</v>
      </c>
      <c r="CO35" s="105">
        <f>CO10*Цены!G79*(1-Предпосылки!$B$34)*1000</f>
        <v>1820681.084652106</v>
      </c>
      <c r="CP35" s="105">
        <f>CP10*Цены!H79*(1-Предпосылки!$B$34)*1000</f>
        <v>1691292.5811742919</v>
      </c>
      <c r="CQ35" s="105">
        <f>CQ10*Цены!I79*(1-Предпосылки!$B$34)*1000</f>
        <v>1617356.2934726831</v>
      </c>
      <c r="CR35" s="105">
        <f>CR10*Цены!J79*(1-Предпосылки!$B$34)*1000</f>
        <v>1478725.7540321674</v>
      </c>
      <c r="CS35" s="105">
        <f>CS10*Цены!K79*(1-Предпосылки!$B$34)*1000</f>
        <v>1423273.5382559614</v>
      </c>
      <c r="CT35" s="105">
        <f>CT10*Цены!L79*(1-Предпосылки!$B$34)*1000</f>
        <v>0</v>
      </c>
      <c r="CU35" s="105">
        <f>CU10*Цены!M79*(1-Предпосылки!$B$34)*1000</f>
        <v>0</v>
      </c>
      <c r="CV35" s="105">
        <f>CV10*Цены!B86*(1-Предпосылки!$B$34)*1000</f>
        <v>0</v>
      </c>
      <c r="CW35" s="105">
        <f>CW10*Цены!C86*(1-Предпосылки!$B$34)*1000</f>
        <v>0</v>
      </c>
      <c r="CX35" s="105">
        <f>CX10*Цены!D86*(1-Предпосылки!$B$34)*1000</f>
        <v>0</v>
      </c>
      <c r="CY35" s="105">
        <f>CY10*Цены!E86*(1-Предпосылки!$B$34)*1000</f>
        <v>0</v>
      </c>
      <c r="CZ35" s="105">
        <f>CZ10*Цены!F86*(1-Предпосылки!$B$34)*1000</f>
        <v>1891567.5004860235</v>
      </c>
      <c r="DA35" s="105">
        <f>DA10*Цены!G86*(1-Предпосылки!$B$34)*1000</f>
        <v>1920818.5443079716</v>
      </c>
      <c r="DB35" s="105">
        <f>DB10*Цены!H86*(1-Предпосылки!$B$34)*1000</f>
        <v>1784313.6731388776</v>
      </c>
      <c r="DC35" s="105">
        <f>DC10*Цены!I86*(1-Предпосылки!$B$34)*1000</f>
        <v>1706310.8896136805</v>
      </c>
      <c r="DD35" s="105">
        <f>DD10*Цены!J86*(1-Предпосылки!$B$34)*1000</f>
        <v>1560055.6705039365</v>
      </c>
      <c r="DE35" s="105">
        <f>DE10*Цены!K86*(1-Предпосылки!$B$34)*1000</f>
        <v>1501553.5828600393</v>
      </c>
      <c r="DF35" s="105">
        <f>DF10*Цены!L86*(1-Предпосылки!$B$34)*1000</f>
        <v>0</v>
      </c>
      <c r="DG35" s="105">
        <f>DG10*Цены!M86*(1-Предпосылки!$B$34)*1000</f>
        <v>0</v>
      </c>
      <c r="DH35" s="105">
        <f>DH10*Цены!B93*(1-Предпосылки!$B$34)*1000</f>
        <v>0</v>
      </c>
      <c r="DI35" s="105">
        <f>DI10*Цены!C93*(1-Предпосылки!$B$34)*1000</f>
        <v>0</v>
      </c>
      <c r="DJ35" s="105">
        <f>DJ10*Цены!D93*(1-Предпосылки!$B$34)*1000</f>
        <v>0</v>
      </c>
      <c r="DK35" s="105">
        <f>DK10*Цены!E93*(1-Предпосылки!$B$34)*1000</f>
        <v>0</v>
      </c>
      <c r="DL35" s="105">
        <f>DL10*Цены!F93*(1-Предпосылки!$B$34)*1000</f>
        <v>1995603.7130127545</v>
      </c>
      <c r="DM35" s="105">
        <f>DM10*Цены!G93*(1-Предпосылки!$B$34)*1000</f>
        <v>2026463.5642449099</v>
      </c>
      <c r="DN35" s="105">
        <f>DN10*Цены!H93*(1-Предпосылки!$B$34)*1000</f>
        <v>1882450.9251615161</v>
      </c>
      <c r="DO35" s="105">
        <f>DO10*Цены!I93*(1-Предпосылки!$B$34)*1000</f>
        <v>1800157.9885424329</v>
      </c>
      <c r="DP35" s="105">
        <f>DP10*Цены!J93*(1-Предпосылки!$B$34)*1000</f>
        <v>1645858.7323816528</v>
      </c>
      <c r="DQ35" s="105">
        <f>DQ10*Цены!K93*(1-Предпосылки!$B$34)*1000</f>
        <v>1584139.0299173412</v>
      </c>
      <c r="DR35" s="105">
        <f>DR10*Цены!L93*(1-Предпосылки!$B$34)*1000</f>
        <v>0</v>
      </c>
      <c r="DS35" s="105">
        <f>DS10*Цены!M93*(1-Предпосылки!$B$34)*1000</f>
        <v>0</v>
      </c>
      <c r="DT35" s="105">
        <f>DT10*Цены!B100*(1-Предпосылки!$B$34)*1000</f>
        <v>0</v>
      </c>
      <c r="DU35" s="105">
        <f>DU10*Цены!C100*(1-Предпосылки!$B$34)*1000</f>
        <v>0</v>
      </c>
      <c r="DV35" s="105">
        <f>DV10*Цены!D100*(1-Предпосылки!$B$34)*1000</f>
        <v>0</v>
      </c>
      <c r="DW35" s="105">
        <f>DW10*Цены!E100*(1-Предпосылки!$B$34)*1000</f>
        <v>0</v>
      </c>
      <c r="DX35" s="105">
        <f>DX10*Цены!F100*(1-Предпосылки!$B$34)*1000</f>
        <v>2105361.9172284557</v>
      </c>
      <c r="DY35" s="105">
        <f>DY10*Цены!G100*(1-Предпосылки!$B$34)*1000</f>
        <v>2137919.0602783798</v>
      </c>
      <c r="DZ35" s="105">
        <f>DZ10*Цены!H100*(1-Предпосылки!$B$34)*1000</f>
        <v>1985985.7260453992</v>
      </c>
      <c r="EA35" s="105">
        <f>EA10*Цены!I100*(1-Предпосылки!$B$34)*1000</f>
        <v>1899166.6779122665</v>
      </c>
      <c r="EB35" s="105">
        <f>EB10*Цены!J100*(1-Предпосылки!$B$34)*1000</f>
        <v>1736380.9626626435</v>
      </c>
      <c r="EC35" s="105">
        <f>EC10*Цены!K100*(1-Предпосылки!$B$34)*1000</f>
        <v>1671266.6765627947</v>
      </c>
      <c r="ED35" s="105">
        <f>ED10*Цены!L100*(1-Предпосылки!$B$34)*1000</f>
        <v>0</v>
      </c>
      <c r="EE35" s="105">
        <f>EE10*Цены!M100*(1-Предпосылки!$B$34)*1000</f>
        <v>0</v>
      </c>
      <c r="EF35" s="105">
        <f>EF10*Цены!B107*(1-Предпосылки!$B$34)*1000</f>
        <v>0</v>
      </c>
      <c r="EG35" s="105">
        <f>EG10*Цены!C107*(1-Предпосылки!$B$34)*1000</f>
        <v>0</v>
      </c>
      <c r="EH35" s="105">
        <f>EH10*Цены!D107*(1-Предпосылки!$B$34)*1000</f>
        <v>0</v>
      </c>
      <c r="EI35" s="105">
        <f>EI10*Цены!E107*(1-Предпосылки!$B$34)*1000</f>
        <v>0</v>
      </c>
      <c r="EJ35" s="105">
        <f>EJ10*Цены!F107*(1-Предпосылки!$B$34)*1000</f>
        <v>2221156.8226760211</v>
      </c>
      <c r="EK35" s="105">
        <f>EK10*Цены!G107*(1-Предпосылки!$B$34)*1000</f>
        <v>2255504.6085936902</v>
      </c>
      <c r="EL35" s="105">
        <f>EL10*Цены!H107*(1-Предпосылки!$B$34)*1000</f>
        <v>2095214.9409778959</v>
      </c>
      <c r="EM35" s="105">
        <f>EM10*Цены!I107*(1-Предпосылки!$B$34)*1000</f>
        <v>2003620.8451974413</v>
      </c>
      <c r="EN35" s="105">
        <f>EN10*Цены!J107*(1-Предпосылки!$B$34)*1000</f>
        <v>1831881.9156090885</v>
      </c>
      <c r="EO35" s="105">
        <f>EO10*Цены!K107*(1-Предпосылки!$B$34)*1000</f>
        <v>1763186.3437737485</v>
      </c>
      <c r="EP35" s="105">
        <f>EP10*Цены!L107*(1-Предпосылки!$B$34)*1000</f>
        <v>0</v>
      </c>
      <c r="EQ35" s="105">
        <f>EQ10*Цены!M107*(1-Предпосылки!$B$34)*1000</f>
        <v>0</v>
      </c>
      <c r="ER35" s="105">
        <f>ER10*Цены!B114*(1-Предпосылки!$B$34)*1000</f>
        <v>0</v>
      </c>
      <c r="ES35" s="105">
        <f>ES10*Цены!C114*(1-Предпосылки!$B$34)*1000</f>
        <v>0</v>
      </c>
      <c r="ET35" s="105">
        <f>ET10*Цены!D114*(1-Предпосылки!$B$34)*1000</f>
        <v>0</v>
      </c>
      <c r="EU35" s="105">
        <f>EU10*Цены!E114*(1-Предпосылки!$B$34)*1000</f>
        <v>0</v>
      </c>
      <c r="EV35" s="105">
        <f>EV10*Цены!F114*(1-Предпосылки!$B$34)*1000</f>
        <v>2343320.4479232016</v>
      </c>
      <c r="EW35" s="105">
        <f>EW10*Цены!G114*(1-Предпосылки!$B$34)*1000</f>
        <v>2379557.362066343</v>
      </c>
      <c r="EX35" s="105">
        <f>EX10*Цены!H114*(1-Предпосылки!$B$34)*1000</f>
        <v>2210451.7627316802</v>
      </c>
      <c r="EY35" s="105">
        <f>EY10*Цены!I114*(1-Предпосылки!$B$34)*1000</f>
        <v>2113819.9916833001</v>
      </c>
      <c r="EZ35" s="105">
        <f>EZ10*Цены!J114*(1-Предпосылки!$B$34)*1000</f>
        <v>1932635.4209675884</v>
      </c>
      <c r="FA35" s="105">
        <f>FA10*Цены!K114*(1-Предпосылки!$B$34)*1000</f>
        <v>1860161.5926813048</v>
      </c>
      <c r="FB35" s="105">
        <f>FB10*Цены!L114*(1-Предпосылки!$B$34)*1000</f>
        <v>0</v>
      </c>
      <c r="FC35" s="105">
        <f>FC10*Цены!M114*(1-Предпосылки!$B$34)*1000</f>
        <v>0</v>
      </c>
      <c r="FD35" s="105">
        <f>FD10*Цены!B121*(1-Предпосылки!$B$34)*1000</f>
        <v>0</v>
      </c>
      <c r="FE35" s="105">
        <f>FE10*Цены!C121*(1-Предпосылки!$B$34)*1000</f>
        <v>0</v>
      </c>
      <c r="FF35" s="105">
        <f>FF10*Цены!D121*(1-Предпосылки!$B$34)*1000</f>
        <v>0</v>
      </c>
      <c r="FG35" s="105">
        <f>FG10*Цены!E121*(1-Предпосылки!$B$34)*1000</f>
        <v>0</v>
      </c>
      <c r="FH35" s="105">
        <f>FH10*Цены!F121*(1-Предпосылки!$B$34)*1000</f>
        <v>2472203.0725589781</v>
      </c>
      <c r="FI35" s="105">
        <f>FI10*Цены!G121*(1-Предпосылки!$B$34)*1000</f>
        <v>2510433.0169799919</v>
      </c>
      <c r="FJ35" s="105">
        <f>FJ10*Цены!H121*(1-Предпосылки!$B$34)*1000</f>
        <v>2332026.6096819225</v>
      </c>
      <c r="FK35" s="105">
        <f>FK10*Цены!I121*(1-Предпосылки!$B$34)*1000</f>
        <v>2230080.0912258816</v>
      </c>
      <c r="FL35" s="105">
        <f>FL10*Цены!J121*(1-Предпосылки!$B$34)*1000</f>
        <v>2038930.3691208055</v>
      </c>
      <c r="FM35" s="105">
        <f>FM10*Цены!K121*(1-Предпосылки!$B$34)*1000</f>
        <v>1962470.4802787763</v>
      </c>
      <c r="FN35" s="105">
        <f>FN10*Цены!L121*(1-Предпосылки!$B$34)*1000</f>
        <v>0</v>
      </c>
      <c r="FO35" s="105">
        <f>FO10*Цены!M121*(1-Предпосылки!$B$34)*1000</f>
        <v>0</v>
      </c>
    </row>
    <row r="36" spans="1:171">
      <c r="A36" s="87" t="s">
        <v>341</v>
      </c>
      <c r="B36" s="105">
        <f>B11*Цены!L24*(1-Предпосылки!$B$34)*1000</f>
        <v>454632.79940267385</v>
      </c>
      <c r="C36" s="105">
        <f>C11*Цены!M24*(1-Предпосылки!$B$34)*1000</f>
        <v>467174.39386895462</v>
      </c>
      <c r="D36" s="105">
        <f>D11*Цены!B24*(1-Предпосылки!$B$34)*1000</f>
        <v>454632.79940267385</v>
      </c>
      <c r="E36" s="105">
        <f>E11*Цены!C24*(1-Предпосылки!$B$34)*1000</f>
        <v>0</v>
      </c>
      <c r="F36" s="105">
        <f>F11*Цены!D24*(1-Предпосылки!$B$34)*1000</f>
        <v>0</v>
      </c>
      <c r="G36" s="105">
        <f>G11*Цены!E24*(1-Предпосылки!$B$34)*1000</f>
        <v>0</v>
      </c>
      <c r="H36" s="105">
        <f>H11*Цены!F24*(1-Предпосылки!$B$34)*1000</f>
        <v>315107.56096530159</v>
      </c>
      <c r="I36" s="105">
        <f>I11*Цены!G24*(1-Предпосылки!$B$34)*1000</f>
        <v>333919.95266472257</v>
      </c>
      <c r="J36" s="105">
        <f>J11*Цены!H24*(1-Предпосылки!$B$34)*1000</f>
        <v>318242.95958187175</v>
      </c>
      <c r="K36" s="105">
        <f>K11*Цены!I24*(1-Предпосылки!$B$34)*1000</f>
        <v>302565.96649902093</v>
      </c>
      <c r="L36" s="105">
        <f>L11*Цены!J24*(1-Предпосылки!$B$34)*1000</f>
        <v>253967.28794218335</v>
      </c>
      <c r="M36" s="105">
        <f>M11*Цены!K24*(1-Предпосылки!$B$34)*1000</f>
        <v>236722.59555104745</v>
      </c>
      <c r="N36" s="105">
        <f>N11*Цены!L24*(1-Предпосылки!$B$34)*1000</f>
        <v>0</v>
      </c>
      <c r="O36" s="105">
        <f>O11*Цены!M24*(1-Предпосылки!$B$34)*1000</f>
        <v>0</v>
      </c>
      <c r="P36" s="105">
        <f>P11*Цены!B38*(1-Предпосылки!$B$34)*1000</f>
        <v>0</v>
      </c>
      <c r="Q36" s="105">
        <f>Q11*Цены!C38*(1-Предпосылки!$B$34)*1000</f>
        <v>0</v>
      </c>
      <c r="R36" s="105">
        <f>R11*Цены!D38*(1-Предпосылки!$B$34)*1000</f>
        <v>0</v>
      </c>
      <c r="S36" s="105">
        <f>S11*Цены!E38*(1-Предпосылки!$B$34)*1000</f>
        <v>0</v>
      </c>
      <c r="T36" s="105">
        <f>T11*Цены!F38*(1-Предпосылки!$B$34)*1000</f>
        <v>359267.29658482468</v>
      </c>
      <c r="U36" s="105">
        <f>U11*Цены!G38*(1-Предпосылки!$B$34)*1000</f>
        <v>380716.09041078441</v>
      </c>
      <c r="V36" s="105">
        <f>V11*Цены!H38*(1-Предпосылки!$B$34)*1000</f>
        <v>362842.095555818</v>
      </c>
      <c r="W36" s="105">
        <f>W11*Цены!I38*(1-Предпосылки!$B$34)*1000</f>
        <v>344968.10070085159</v>
      </c>
      <c r="X36" s="105">
        <f>X11*Цены!J38*(1-Предпосылки!$B$34)*1000</f>
        <v>289558.71665045578</v>
      </c>
      <c r="Y36" s="105">
        <f>Y11*Цены!K38*(1-Предпосылки!$B$34)*1000</f>
        <v>269897.32230999268</v>
      </c>
      <c r="Z36" s="105">
        <f>Z11*Цены!L38*(1-Предпосылки!$B$34)*1000</f>
        <v>0</v>
      </c>
      <c r="AA36" s="105">
        <f>AA11*Цены!M38*(1-Предпосылки!$B$34)*1000</f>
        <v>0</v>
      </c>
      <c r="AB36" s="105">
        <f>AB11*Цены!B45*(1-Предпосылки!$B$34)*1000</f>
        <v>0</v>
      </c>
      <c r="AC36" s="105">
        <f>AC11*Цены!C45*(1-Предпосылки!$B$34)*1000</f>
        <v>0</v>
      </c>
      <c r="AD36" s="105">
        <f>AD11*Цены!D45*(1-Предпосылки!$B$34)*1000</f>
        <v>0</v>
      </c>
      <c r="AE36" s="105">
        <f>AE11*Цены!E45*(1-Предпосылки!$B$34)*1000</f>
        <v>0</v>
      </c>
      <c r="AF36" s="105">
        <f>AF11*Цены!F45*(1-Предпосылки!$B$34)*1000</f>
        <v>379026.99789698998</v>
      </c>
      <c r="AG36" s="105">
        <f>AG11*Цены!G45*(1-Предпосылки!$B$34)*1000</f>
        <v>401655.47538337763</v>
      </c>
      <c r="AH36" s="105">
        <f>AH11*Цены!H45*(1-Предпосылки!$B$34)*1000</f>
        <v>382798.41081138793</v>
      </c>
      <c r="AI36" s="105">
        <f>AI11*Цены!I45*(1-Предпосылки!$B$34)*1000</f>
        <v>363941.34623939841</v>
      </c>
      <c r="AJ36" s="105">
        <f>AJ11*Цены!J45*(1-Предпосылки!$B$34)*1000</f>
        <v>305484.44606623077</v>
      </c>
      <c r="AK36" s="105">
        <f>AK11*Цены!K45*(1-Предпосылки!$B$34)*1000</f>
        <v>284741.6750370423</v>
      </c>
      <c r="AL36" s="105">
        <f>AL11*Цены!L45*(1-Предпосылки!$B$34)*1000</f>
        <v>0</v>
      </c>
      <c r="AM36" s="105">
        <f>AM11*Цены!M45*(1-Предпосылки!$B$34)*1000</f>
        <v>0</v>
      </c>
      <c r="AN36" s="105">
        <f>AN11*Цены!B52*(1-Предпосылки!$B$34)*1000</f>
        <v>0</v>
      </c>
      <c r="AO36" s="105">
        <f>AO11*Цены!C52*(1-Предпосылки!$B$34)*1000</f>
        <v>0</v>
      </c>
      <c r="AP36" s="105">
        <f>AP11*Цены!D52*(1-Предпосылки!$B$34)*1000</f>
        <v>0</v>
      </c>
      <c r="AQ36" s="105">
        <f>AQ11*Цены!E52*(1-Предпосылки!$B$34)*1000</f>
        <v>0</v>
      </c>
      <c r="AR36" s="105">
        <f>AR11*Цены!F52*(1-Предпосылки!$B$34)*1000</f>
        <v>399873.48278132442</v>
      </c>
      <c r="AS36" s="105">
        <f>AS11*Цены!G52*(1-Предпосылки!$B$34)*1000</f>
        <v>423746.52652946336</v>
      </c>
      <c r="AT36" s="105">
        <f>AT11*Цены!H52*(1-Предпосылки!$B$34)*1000</f>
        <v>403852.3234060143</v>
      </c>
      <c r="AU36" s="105">
        <f>AU11*Цены!I52*(1-Предпосылки!$B$34)*1000</f>
        <v>383958.1202825653</v>
      </c>
      <c r="AV36" s="105">
        <f>AV11*Цены!J52*(1-Предпосылки!$B$34)*1000</f>
        <v>322286.09059987351</v>
      </c>
      <c r="AW36" s="105">
        <f>AW11*Цены!K52*(1-Предпосылки!$B$34)*1000</f>
        <v>300402.4671640796</v>
      </c>
      <c r="AX36" s="105">
        <f>AX11*Цены!L52*(1-Предпосылки!$B$34)*1000</f>
        <v>0</v>
      </c>
      <c r="AY36" s="105">
        <f>AY11*Цены!M52*(1-Предпосылки!$B$34)*1000</f>
        <v>0</v>
      </c>
      <c r="AZ36" s="105">
        <f>AZ11*Цены!B59*(1-Предпосылки!$B$34)*1000</f>
        <v>0</v>
      </c>
      <c r="BA36" s="105">
        <f>BA11*Цены!C59*(1-Предпосылки!$B$34)*1000</f>
        <v>0</v>
      </c>
      <c r="BB36" s="105">
        <f>BB11*Цены!D59*(1-Предпосылки!$B$34)*1000</f>
        <v>0</v>
      </c>
      <c r="BC36" s="105">
        <f>BC11*Цены!E59*(1-Предпосылки!$B$34)*1000</f>
        <v>0</v>
      </c>
      <c r="BD36" s="105">
        <f>BD11*Цены!F59*(1-Предпосылки!$B$34)*1000</f>
        <v>421866.52433429722</v>
      </c>
      <c r="BE36" s="105">
        <f>BE11*Цены!G59*(1-Предпосылки!$B$34)*1000</f>
        <v>447052.58548858383</v>
      </c>
      <c r="BF36" s="105">
        <f>BF11*Цены!H59*(1-Предпосылки!$B$34)*1000</f>
        <v>426064.20119334507</v>
      </c>
      <c r="BG36" s="105">
        <f>BG11*Цены!I59*(1-Предпосылки!$B$34)*1000</f>
        <v>405075.81689810636</v>
      </c>
      <c r="BH36" s="105">
        <f>BH11*Цены!J59*(1-Предпосылки!$B$34)*1000</f>
        <v>340011.8255828665</v>
      </c>
      <c r="BI36" s="105">
        <f>BI11*Цены!K59*(1-Предпосылки!$B$34)*1000</f>
        <v>316924.60285810393</v>
      </c>
      <c r="BJ36" s="105">
        <f>BJ11*Цены!L59*(1-Предпосылки!$B$34)*1000</f>
        <v>0</v>
      </c>
      <c r="BK36" s="105">
        <f>BK11*Цены!M59*(1-Предпосылки!$B$34)*1000</f>
        <v>0</v>
      </c>
      <c r="BL36" s="105">
        <f>BL11*Цены!B66*(1-Предпосылки!$B$34)*1000</f>
        <v>0</v>
      </c>
      <c r="BM36" s="105">
        <f>BM11*Цены!C66*(1-Предпосылки!$B$34)*1000</f>
        <v>0</v>
      </c>
      <c r="BN36" s="105">
        <f>BN11*Цены!D66*(1-Предпосылки!$B$34)*1000</f>
        <v>0</v>
      </c>
      <c r="BO36" s="105">
        <f>BO11*Цены!E66*(1-Предпосылки!$B$34)*1000</f>
        <v>0</v>
      </c>
      <c r="BP36" s="105">
        <f>BP11*Цены!F66*(1-Предпосылки!$B$34)*1000</f>
        <v>445069.18317268358</v>
      </c>
      <c r="BQ36" s="105">
        <f>BQ11*Цены!G66*(1-Предпосылки!$B$34)*1000</f>
        <v>471640.47769045591</v>
      </c>
      <c r="BR36" s="105">
        <f>BR11*Цены!H66*(1-Предпосылки!$B$34)*1000</f>
        <v>449497.73225897906</v>
      </c>
      <c r="BS36" s="105">
        <f>BS11*Цены!I66*(1-Предпосылки!$B$34)*1000</f>
        <v>427354.98682750214</v>
      </c>
      <c r="BT36" s="105">
        <f>BT11*Цены!J66*(1-Предпосылки!$B$34)*1000</f>
        <v>358712.47598992416</v>
      </c>
      <c r="BU36" s="105">
        <f>BU11*Цены!K66*(1-Предпосылки!$B$34)*1000</f>
        <v>334355.4560152996</v>
      </c>
      <c r="BV36" s="105">
        <f>BV11*Цены!L66*(1-Предпосылки!$B$34)*1000</f>
        <v>0</v>
      </c>
      <c r="BW36" s="105">
        <f>BW11*Цены!M66*(1-Предпосылки!$B$34)*1000</f>
        <v>0</v>
      </c>
      <c r="BX36" s="105">
        <f>BX11*Цены!B73*(1-Предпосылки!$B$34)*1000</f>
        <v>0</v>
      </c>
      <c r="BY36" s="105">
        <f>BY11*Цены!C73*(1-Предпосылки!$B$34)*1000</f>
        <v>0</v>
      </c>
      <c r="BZ36" s="105">
        <f>BZ11*Цены!D73*(1-Предпосылки!$B$34)*1000</f>
        <v>0</v>
      </c>
      <c r="CA36" s="105">
        <f>CA11*Цены!E73*(1-Предпосылки!$B$34)*1000</f>
        <v>0</v>
      </c>
      <c r="CB36" s="105">
        <f>CB11*Цены!F73*(1-Предпосылки!$B$34)*1000</f>
        <v>469547.98824718106</v>
      </c>
      <c r="CC36" s="105">
        <f>CC11*Цены!G73*(1-Предпосылки!$B$34)*1000</f>
        <v>497580.70396343095</v>
      </c>
      <c r="CD36" s="105">
        <f>CD11*Цены!H73*(1-Предпосылки!$B$34)*1000</f>
        <v>474220.10753322288</v>
      </c>
      <c r="CE36" s="105">
        <f>CE11*Цены!I73*(1-Предпосылки!$B$34)*1000</f>
        <v>450859.51110301475</v>
      </c>
      <c r="CF36" s="105">
        <f>CF11*Цены!J73*(1-Предпосылки!$B$34)*1000</f>
        <v>378441.66216936993</v>
      </c>
      <c r="CG36" s="105">
        <f>CG11*Цены!K73*(1-Предпосылки!$B$34)*1000</f>
        <v>352745.00609614101</v>
      </c>
      <c r="CH36" s="105">
        <f>CH11*Цены!L73*(1-Предпосылки!$B$34)*1000</f>
        <v>0</v>
      </c>
      <c r="CI36" s="105">
        <f>CI11*Цены!M73*(1-Предпосылки!$B$34)*1000</f>
        <v>0</v>
      </c>
      <c r="CJ36" s="105">
        <f>CJ11*Цены!B80*(1-Предпосылки!$B$34)*1000</f>
        <v>0</v>
      </c>
      <c r="CK36" s="105">
        <f>CK11*Цены!C80*(1-Предпосылки!$B$34)*1000</f>
        <v>0</v>
      </c>
      <c r="CL36" s="105">
        <f>CL11*Цены!D80*(1-Предпосылки!$B$34)*1000</f>
        <v>0</v>
      </c>
      <c r="CM36" s="105">
        <f>CM11*Цены!E80*(1-Предпосылки!$B$34)*1000</f>
        <v>0</v>
      </c>
      <c r="CN36" s="105">
        <f>CN11*Цены!F80*(1-Предпосылки!$B$34)*1000</f>
        <v>495373.12760077603</v>
      </c>
      <c r="CO36" s="105">
        <f>CO11*Цены!G80*(1-Предпосылки!$B$34)*1000</f>
        <v>524947.64268141962</v>
      </c>
      <c r="CP36" s="105">
        <f>CP11*Цены!H80*(1-Предпосылки!$B$34)*1000</f>
        <v>500302.21344755014</v>
      </c>
      <c r="CQ36" s="105">
        <f>CQ11*Цены!I80*(1-Предпосылки!$B$34)*1000</f>
        <v>475656.78421368054</v>
      </c>
      <c r="CR36" s="105">
        <f>CR11*Цены!J80*(1-Предпосылки!$B$34)*1000</f>
        <v>399255.9535886852</v>
      </c>
      <c r="CS36" s="105">
        <f>CS11*Цены!K80*(1-Предпосылки!$B$34)*1000</f>
        <v>372145.98143142881</v>
      </c>
      <c r="CT36" s="105">
        <f>CT11*Цены!L80*(1-Предпосылки!$B$34)*1000</f>
        <v>0</v>
      </c>
      <c r="CU36" s="105">
        <f>CU11*Цены!M80*(1-Предпосылки!$B$34)*1000</f>
        <v>0</v>
      </c>
      <c r="CV36" s="105">
        <f>CV11*Цены!B87*(1-Предпосылки!$B$34)*1000</f>
        <v>0</v>
      </c>
      <c r="CW36" s="105">
        <f>CW11*Цены!C87*(1-Предпосылки!$B$34)*1000</f>
        <v>0</v>
      </c>
      <c r="CX36" s="105">
        <f>CX11*Цены!D87*(1-Предпосылки!$B$34)*1000</f>
        <v>0</v>
      </c>
      <c r="CY36" s="105">
        <f>CY11*Цены!E87*(1-Предпосылки!$B$34)*1000</f>
        <v>0</v>
      </c>
      <c r="CZ36" s="105">
        <f>CZ11*Цены!F87*(1-Предпосылки!$B$34)*1000</f>
        <v>522618.64961881872</v>
      </c>
      <c r="DA36" s="105">
        <f>DA11*Цены!G87*(1-Предпосылки!$B$34)*1000</f>
        <v>553819.76302889769</v>
      </c>
      <c r="DB36" s="105">
        <f>DB11*Цены!H87*(1-Предпосылки!$B$34)*1000</f>
        <v>527818.8351871653</v>
      </c>
      <c r="DC36" s="105">
        <f>DC11*Цены!I87*(1-Предпосылки!$B$34)*1000</f>
        <v>501817.90734543296</v>
      </c>
      <c r="DD36" s="105">
        <f>DD11*Цены!J87*(1-Предпосылки!$B$34)*1000</f>
        <v>421215.03103606292</v>
      </c>
      <c r="DE36" s="105">
        <f>DE11*Цены!K87*(1-Предпосылки!$B$34)*1000</f>
        <v>392614.01041015732</v>
      </c>
      <c r="DF36" s="105">
        <f>DF11*Цены!L87*(1-Предпосылки!$B$34)*1000</f>
        <v>0</v>
      </c>
      <c r="DG36" s="105">
        <f>DG11*Цены!M87*(1-Предпосылки!$B$34)*1000</f>
        <v>0</v>
      </c>
      <c r="DH36" s="105">
        <f>DH11*Цены!B94*(1-Предпосылки!$B$34)*1000</f>
        <v>0</v>
      </c>
      <c r="DI36" s="105">
        <f>DI11*Цены!C94*(1-Предпосылки!$B$34)*1000</f>
        <v>0</v>
      </c>
      <c r="DJ36" s="105">
        <f>DJ11*Цены!D94*(1-Предпосылки!$B$34)*1000</f>
        <v>0</v>
      </c>
      <c r="DK36" s="105">
        <f>DK11*Цены!E94*(1-Предпосылки!$B$34)*1000</f>
        <v>0</v>
      </c>
      <c r="DL36" s="105">
        <f>DL11*Цены!F94*(1-Предпосылки!$B$34)*1000</f>
        <v>551362.67534785368</v>
      </c>
      <c r="DM36" s="105">
        <f>DM11*Цены!G94*(1-Предпосылки!$B$34)*1000</f>
        <v>584279.84999548714</v>
      </c>
      <c r="DN36" s="105">
        <f>DN11*Цены!H94*(1-Предпосылки!$B$34)*1000</f>
        <v>556848.87112245942</v>
      </c>
      <c r="DO36" s="105">
        <f>DO11*Цены!I94*(1-Предпосылки!$B$34)*1000</f>
        <v>529417.89224943181</v>
      </c>
      <c r="DP36" s="105">
        <f>DP11*Цены!J94*(1-Предпосылки!$B$34)*1000</f>
        <v>444381.85774304636</v>
      </c>
      <c r="DQ36" s="105">
        <f>DQ11*Цены!K94*(1-Предпосылки!$B$34)*1000</f>
        <v>414207.78098271595</v>
      </c>
      <c r="DR36" s="105">
        <f>DR11*Цены!L94*(1-Предпосылки!$B$34)*1000</f>
        <v>0</v>
      </c>
      <c r="DS36" s="105">
        <f>DS11*Цены!M94*(1-Предпосылки!$B$34)*1000</f>
        <v>0</v>
      </c>
      <c r="DT36" s="105">
        <f>DT11*Цены!B101*(1-Предпосылки!$B$34)*1000</f>
        <v>0</v>
      </c>
      <c r="DU36" s="105">
        <f>DU11*Цены!C101*(1-Предпосылки!$B$34)*1000</f>
        <v>0</v>
      </c>
      <c r="DV36" s="105">
        <f>DV11*Цены!D101*(1-Предпосылки!$B$34)*1000</f>
        <v>0</v>
      </c>
      <c r="DW36" s="105">
        <f>DW11*Цены!E101*(1-Предпосылки!$B$34)*1000</f>
        <v>0</v>
      </c>
      <c r="DX36" s="105">
        <f>DX11*Цены!F101*(1-Предпосылки!$B$34)*1000</f>
        <v>581687.62249198568</v>
      </c>
      <c r="DY36" s="105">
        <f>DY11*Цены!G101*(1-Предпосылки!$B$34)*1000</f>
        <v>616415.24174523877</v>
      </c>
      <c r="DZ36" s="105">
        <f>DZ11*Цены!H101*(1-Предпосылки!$B$34)*1000</f>
        <v>587475.55903419456</v>
      </c>
      <c r="EA36" s="105">
        <f>EA11*Цены!I101*(1-Предпосылки!$B$34)*1000</f>
        <v>558535.87632315047</v>
      </c>
      <c r="EB36" s="105">
        <f>EB11*Цены!J101*(1-Предпосылки!$B$34)*1000</f>
        <v>468822.8599189138</v>
      </c>
      <c r="EC36" s="105">
        <f>EC11*Цены!K101*(1-Предпосылки!$B$34)*1000</f>
        <v>436989.20893676532</v>
      </c>
      <c r="ED36" s="105">
        <f>ED11*Цены!L101*(1-Предпосылки!$B$34)*1000</f>
        <v>0</v>
      </c>
      <c r="EE36" s="105">
        <f>EE11*Цены!M101*(1-Предпосылки!$B$34)*1000</f>
        <v>0</v>
      </c>
      <c r="EF36" s="105">
        <f>EF11*Цены!B108*(1-Предпосылки!$B$34)*1000</f>
        <v>0</v>
      </c>
      <c r="EG36" s="105">
        <f>EG11*Цены!C108*(1-Предпосылки!$B$34)*1000</f>
        <v>0</v>
      </c>
      <c r="EH36" s="105">
        <f>EH11*Цены!D108*(1-Предпосылки!$B$34)*1000</f>
        <v>0</v>
      </c>
      <c r="EI36" s="105">
        <f>EI11*Цены!E108*(1-Предпосылки!$B$34)*1000</f>
        <v>0</v>
      </c>
      <c r="EJ36" s="105">
        <f>EJ11*Цены!F108*(1-Предпосылки!$B$34)*1000</f>
        <v>613680.44172904477</v>
      </c>
      <c r="EK36" s="105">
        <f>EK11*Цены!G108*(1-Предпосылки!$B$34)*1000</f>
        <v>650318.08004122693</v>
      </c>
      <c r="EL36" s="105">
        <f>EL11*Цены!H108*(1-Предпосылки!$B$34)*1000</f>
        <v>619786.71478107525</v>
      </c>
      <c r="EM36" s="105">
        <f>EM11*Цены!I108*(1-Предпосылки!$B$34)*1000</f>
        <v>589255.34952092369</v>
      </c>
      <c r="EN36" s="105">
        <f>EN11*Цены!J108*(1-Предпосылки!$B$34)*1000</f>
        <v>494608.11721445405</v>
      </c>
      <c r="EO36" s="105">
        <f>EO11*Цены!K108*(1-Предпосылки!$B$34)*1000</f>
        <v>461023.61542828742</v>
      </c>
      <c r="EP36" s="105">
        <f>EP11*Цены!L108*(1-Предпосылки!$B$34)*1000</f>
        <v>0</v>
      </c>
      <c r="EQ36" s="105">
        <f>EQ11*Цены!M108*(1-Предпосылки!$B$34)*1000</f>
        <v>0</v>
      </c>
      <c r="ER36" s="105">
        <f>ER11*Цены!B115*(1-Предпосылки!$B$34)*1000</f>
        <v>0</v>
      </c>
      <c r="ES36" s="105">
        <f>ES11*Цены!C115*(1-Предпосылки!$B$34)*1000</f>
        <v>0</v>
      </c>
      <c r="ET36" s="105">
        <f>ET11*Цены!D115*(1-Предпосылки!$B$34)*1000</f>
        <v>0</v>
      </c>
      <c r="EU36" s="105">
        <f>EU11*Цены!E115*(1-Предпосылки!$B$34)*1000</f>
        <v>0</v>
      </c>
      <c r="EV36" s="105">
        <f>EV11*Цены!F115*(1-Предпосылки!$B$34)*1000</f>
        <v>647432.86602414225</v>
      </c>
      <c r="EW36" s="105">
        <f>EW11*Цены!G115*(1-Предпосылки!$B$34)*1000</f>
        <v>686085.57444349432</v>
      </c>
      <c r="EX36" s="105">
        <f>EX11*Цены!H115*(1-Предпосылки!$B$34)*1000</f>
        <v>653874.9840940343</v>
      </c>
      <c r="EY36" s="105">
        <f>EY11*Цены!I115*(1-Предпосылки!$B$34)*1000</f>
        <v>621664.39374457451</v>
      </c>
      <c r="EZ36" s="105">
        <f>EZ11*Цены!J115*(1-Предпосылки!$B$34)*1000</f>
        <v>521811.56366124901</v>
      </c>
      <c r="FA36" s="105">
        <f>FA11*Цены!K115*(1-Предпосылки!$B$34)*1000</f>
        <v>486379.91427684319</v>
      </c>
      <c r="FB36" s="105">
        <f>FB11*Цены!L115*(1-Предпосылки!$B$34)*1000</f>
        <v>0</v>
      </c>
      <c r="FC36" s="105">
        <f>FC11*Цены!M115*(1-Предпосылки!$B$34)*1000</f>
        <v>0</v>
      </c>
      <c r="FD36" s="105">
        <f>FD11*Цены!B122*(1-Предпосылки!$B$34)*1000</f>
        <v>0</v>
      </c>
      <c r="FE36" s="105">
        <f>FE11*Цены!C122*(1-Предпосылки!$B$34)*1000</f>
        <v>0</v>
      </c>
      <c r="FF36" s="105">
        <f>FF11*Цены!D122*(1-Предпосылки!$B$34)*1000</f>
        <v>0</v>
      </c>
      <c r="FG36" s="105">
        <f>FG11*Цены!E122*(1-Предпосылки!$B$34)*1000</f>
        <v>0</v>
      </c>
      <c r="FH36" s="105">
        <f>FH11*Цены!F122*(1-Предпосылки!$B$34)*1000</f>
        <v>683041.67365547013</v>
      </c>
      <c r="FI36" s="105">
        <f>FI11*Цены!G122*(1-Предпосылки!$B$34)*1000</f>
        <v>723820.28103788651</v>
      </c>
      <c r="FJ36" s="105">
        <f>FJ11*Цены!H122*(1-Предпосылки!$B$34)*1000</f>
        <v>689838.1082192061</v>
      </c>
      <c r="FK36" s="105">
        <f>FK11*Цены!I122*(1-Предпосылки!$B$34)*1000</f>
        <v>655855.93540052604</v>
      </c>
      <c r="FL36" s="105">
        <f>FL11*Цены!J122*(1-Предпосылки!$B$34)*1000</f>
        <v>550511.19966261776</v>
      </c>
      <c r="FM36" s="105">
        <f>FM11*Цены!K122*(1-Предпосылки!$B$34)*1000</f>
        <v>513130.80956206954</v>
      </c>
      <c r="FN36" s="105">
        <f>FN11*Цены!L122*(1-Предпосылки!$B$34)*1000</f>
        <v>0</v>
      </c>
      <c r="FO36" s="105">
        <f>FO11*Цены!M122*(1-Предпосылки!$B$34)*1000</f>
        <v>0</v>
      </c>
    </row>
    <row r="37" spans="1:171">
      <c r="A37" s="87" t="s">
        <v>343</v>
      </c>
      <c r="B37" s="105">
        <f>B12*Цены!L25*(1-Предпосылки!$B$34)*1000</f>
        <v>363706.23952213908</v>
      </c>
      <c r="C37" s="105">
        <f>C12*Цены!M25*(1-Предпосылки!$B$34)*1000</f>
        <v>448362.00216953357</v>
      </c>
      <c r="D37" s="105">
        <f>D12*Цены!B25*(1-Предпосылки!$B$34)*1000</f>
        <v>279050.47687474469</v>
      </c>
      <c r="E37" s="105">
        <f>E12*Цены!C25*(1-Предпосылки!$B$34)*1000</f>
        <v>0</v>
      </c>
      <c r="F37" s="105">
        <f>F12*Цены!D25*(1-Предпосылки!$B$34)*1000</f>
        <v>0</v>
      </c>
      <c r="G37" s="105">
        <f>G12*Цены!E25*(1-Предпосылки!$B$34)*1000</f>
        <v>0</v>
      </c>
      <c r="H37" s="105">
        <f>H12*Цены!F25*(1-Предпосылки!$B$34)*1000</f>
        <v>242993.39278418777</v>
      </c>
      <c r="I37" s="105">
        <f>I12*Цены!G25*(1-Предпосылки!$B$34)*1000</f>
        <v>271211.98033331922</v>
      </c>
      <c r="J37" s="105">
        <f>J12*Цены!H25*(1-Предпосылки!$B$34)*1000</f>
        <v>300998.26719073585</v>
      </c>
      <c r="K37" s="105">
        <f>K12*Цены!I25*(1-Предпосылки!$B$34)*1000</f>
        <v>294727.46995759546</v>
      </c>
      <c r="L37" s="105">
        <f>L12*Цены!J25*(1-Предпосылки!$B$34)*1000</f>
        <v>195962.41353563531</v>
      </c>
      <c r="M37" s="105">
        <f>M12*Цены!K25*(1-Предпосылки!$B$34)*1000</f>
        <v>181853.11976106954</v>
      </c>
      <c r="N37" s="105">
        <f>N12*Цены!L25*(1-Предпосылки!$B$34)*1000</f>
        <v>0</v>
      </c>
      <c r="O37" s="105">
        <f>O12*Цены!M25*(1-Предпосылки!$B$34)*1000</f>
        <v>0</v>
      </c>
      <c r="P37" s="105">
        <f>P12*Цены!B39*(1-Предпосылки!$B$34)*1000</f>
        <v>0</v>
      </c>
      <c r="Q37" s="105">
        <f>Q12*Цены!C39*(1-Предпосылки!$B$34)*1000</f>
        <v>0</v>
      </c>
      <c r="R37" s="105">
        <f>R12*Цены!D39*(1-Предпосылки!$B$34)*1000</f>
        <v>0</v>
      </c>
      <c r="S37" s="105">
        <f>S12*Цены!E39*(1-Предпосылки!$B$34)*1000</f>
        <v>0</v>
      </c>
      <c r="T37" s="105">
        <f>T12*Цены!F39*(1-Предпосылки!$B$34)*1000</f>
        <v>277046.9202519792</v>
      </c>
      <c r="U37" s="105">
        <f>U12*Цены!G39*(1-Предпосылки!$B$34)*1000</f>
        <v>309220.11099091877</v>
      </c>
      <c r="V37" s="105">
        <f>V12*Цены!H39*(1-Предпосылки!$B$34)*1000</f>
        <v>343180.70121535496</v>
      </c>
      <c r="W37" s="105">
        <f>W12*Цены!I39*(1-Предпосылки!$B$34)*1000</f>
        <v>336031.10327336838</v>
      </c>
      <c r="X37" s="105">
        <f>X12*Цены!J39*(1-Предпосылки!$B$34)*1000</f>
        <v>223424.93568708008</v>
      </c>
      <c r="Y37" s="105">
        <f>Y12*Цены!K39*(1-Предпосылки!$B$34)*1000</f>
        <v>207338.3403176103</v>
      </c>
      <c r="Z37" s="105">
        <f>Z12*Цены!L39*(1-Предпосылки!$B$34)*1000</f>
        <v>0</v>
      </c>
      <c r="AA37" s="105">
        <f>AA12*Цены!M39*(1-Предпосылки!$B$34)*1000</f>
        <v>0</v>
      </c>
      <c r="AB37" s="105">
        <f>AB12*Цены!B46*(1-Предпосылки!$B$34)*1000</f>
        <v>0</v>
      </c>
      <c r="AC37" s="105">
        <f>AC12*Цены!C46*(1-Предпосылки!$B$34)*1000</f>
        <v>0</v>
      </c>
      <c r="AD37" s="105">
        <f>AD12*Цены!D46*(1-Предпосылки!$B$34)*1000</f>
        <v>0</v>
      </c>
      <c r="AE37" s="105">
        <f>AE12*Цены!E46*(1-Предпосылки!$B$34)*1000</f>
        <v>0</v>
      </c>
      <c r="AF37" s="105">
        <f>AF12*Цены!F46*(1-Предпосылки!$B$34)*1000</f>
        <v>292284.50086583808</v>
      </c>
      <c r="AG37" s="105">
        <f>AG12*Цены!G46*(1-Предпосылки!$B$34)*1000</f>
        <v>326227.2170954193</v>
      </c>
      <c r="AH37" s="105">
        <f>AH12*Цены!H46*(1-Предпосылки!$B$34)*1000</f>
        <v>362055.63978219946</v>
      </c>
      <c r="AI37" s="105">
        <f>AI12*Цены!I46*(1-Предпосылки!$B$34)*1000</f>
        <v>354512.81395340362</v>
      </c>
      <c r="AJ37" s="105">
        <f>AJ12*Цены!J46*(1-Предпосылки!$B$34)*1000</f>
        <v>235713.30714986948</v>
      </c>
      <c r="AK37" s="105">
        <f>AK12*Цены!K46*(1-Предпосылки!$B$34)*1000</f>
        <v>218741.94903507881</v>
      </c>
      <c r="AL37" s="105">
        <f>AL12*Цены!L46*(1-Предпосылки!$B$34)*1000</f>
        <v>0</v>
      </c>
      <c r="AM37" s="105">
        <f>AM12*Цены!M46*(1-Предпосылки!$B$34)*1000</f>
        <v>0</v>
      </c>
      <c r="AN37" s="105">
        <f>AN12*Цены!B53*(1-Предпосылки!$B$34)*1000</f>
        <v>0</v>
      </c>
      <c r="AO37" s="105">
        <f>AO12*Цены!C53*(1-Предпосылки!$B$34)*1000</f>
        <v>0</v>
      </c>
      <c r="AP37" s="105">
        <f>AP12*Цены!D53*(1-Предпосылки!$B$34)*1000</f>
        <v>0</v>
      </c>
      <c r="AQ37" s="105">
        <f>AQ12*Цены!E53*(1-Предпосылки!$B$34)*1000</f>
        <v>0</v>
      </c>
      <c r="AR37" s="105">
        <f>AR12*Цены!F53*(1-Предпосылки!$B$34)*1000</f>
        <v>308360.14841345913</v>
      </c>
      <c r="AS37" s="105">
        <f>AS12*Цены!G53*(1-Предпосылки!$B$34)*1000</f>
        <v>344169.7140356673</v>
      </c>
      <c r="AT37" s="105">
        <f>AT12*Цены!H53*(1-Предпосылки!$B$34)*1000</f>
        <v>381968.69997022045</v>
      </c>
      <c r="AU37" s="105">
        <f>AU12*Цены!I53*(1-Предпосылки!$B$34)*1000</f>
        <v>374011.0187208408</v>
      </c>
      <c r="AV37" s="105">
        <f>AV12*Цены!J53*(1-Предпосылки!$B$34)*1000</f>
        <v>248677.53904311225</v>
      </c>
      <c r="AW37" s="105">
        <f>AW12*Цены!K53*(1-Предпосылки!$B$34)*1000</f>
        <v>230772.75623200813</v>
      </c>
      <c r="AX37" s="105">
        <f>AX12*Цены!L53*(1-Предпосылки!$B$34)*1000</f>
        <v>0</v>
      </c>
      <c r="AY37" s="105">
        <f>AY12*Цены!M53*(1-Предпосылки!$B$34)*1000</f>
        <v>0</v>
      </c>
      <c r="AZ37" s="105">
        <f>AZ12*Цены!B60*(1-Предпосылки!$B$34)*1000</f>
        <v>0</v>
      </c>
      <c r="BA37" s="105">
        <f>BA12*Цены!C60*(1-Предпосылки!$B$34)*1000</f>
        <v>0</v>
      </c>
      <c r="BB37" s="105">
        <f>BB12*Цены!D60*(1-Предпосылки!$B$34)*1000</f>
        <v>0</v>
      </c>
      <c r="BC37" s="105">
        <f>BC12*Цены!E60*(1-Предпосылки!$B$34)*1000</f>
        <v>0</v>
      </c>
      <c r="BD37" s="105">
        <f>BD12*Цены!F60*(1-Предпосылки!$B$34)*1000</f>
        <v>325319.95657619939</v>
      </c>
      <c r="BE37" s="105">
        <f>BE12*Цены!G60*(1-Предпосылки!$B$34)*1000</f>
        <v>363099.04830762895</v>
      </c>
      <c r="BF37" s="105">
        <f>BF12*Цены!H60*(1-Предпосылки!$B$34)*1000</f>
        <v>402976.9784685825</v>
      </c>
      <c r="BG37" s="105">
        <f>BG12*Цены!I60*(1-Предпосылки!$B$34)*1000</f>
        <v>394581.62475048704</v>
      </c>
      <c r="BH37" s="105">
        <f>BH12*Цены!J60*(1-Предпосылки!$B$34)*1000</f>
        <v>262354.80369048344</v>
      </c>
      <c r="BI37" s="105">
        <f>BI12*Цены!K60*(1-Предпосылки!$B$34)*1000</f>
        <v>243465.2578247686</v>
      </c>
      <c r="BJ37" s="105">
        <f>BJ12*Цены!L60*(1-Предпосылки!$B$34)*1000</f>
        <v>0</v>
      </c>
      <c r="BK37" s="105">
        <f>BK12*Цены!M60*(1-Предпосылки!$B$34)*1000</f>
        <v>0</v>
      </c>
      <c r="BL37" s="105">
        <f>BL12*Цены!B67*(1-Предпосылки!$B$34)*1000</f>
        <v>0</v>
      </c>
      <c r="BM37" s="105">
        <f>BM12*Цены!C67*(1-Предпосылки!$B$34)*1000</f>
        <v>0</v>
      </c>
      <c r="BN37" s="105">
        <f>BN12*Цены!D67*(1-Предпосылки!$B$34)*1000</f>
        <v>0</v>
      </c>
      <c r="BO37" s="105">
        <f>BO12*Цены!E67*(1-Предпосылки!$B$34)*1000</f>
        <v>0</v>
      </c>
      <c r="BP37" s="105">
        <f>BP12*Цены!F67*(1-Предпосылки!$B$34)*1000</f>
        <v>343212.55418789032</v>
      </c>
      <c r="BQ37" s="105">
        <f>BQ12*Цены!G67*(1-Предпосылки!$B$34)*1000</f>
        <v>383069.49596454861</v>
      </c>
      <c r="BR37" s="105">
        <f>BR12*Цены!H67*(1-Предпосылки!$B$34)*1000</f>
        <v>425140.71228435449</v>
      </c>
      <c r="BS37" s="105">
        <f>BS12*Цены!I67*(1-Предпосылки!$B$34)*1000</f>
        <v>416283.61411176383</v>
      </c>
      <c r="BT37" s="105">
        <f>BT12*Цены!J67*(1-Предпосылки!$B$34)*1000</f>
        <v>276784.31789345993</v>
      </c>
      <c r="BU37" s="105">
        <f>BU12*Цены!K67*(1-Предпосылки!$B$34)*1000</f>
        <v>256855.84700513084</v>
      </c>
      <c r="BV37" s="105">
        <f>BV12*Цены!L67*(1-Предпосылки!$B$34)*1000</f>
        <v>0</v>
      </c>
      <c r="BW37" s="105">
        <f>BW12*Цены!M67*(1-Предпосылки!$B$34)*1000</f>
        <v>0</v>
      </c>
      <c r="BX37" s="105">
        <f>BX12*Цены!B74*(1-Предпосылки!$B$34)*1000</f>
        <v>0</v>
      </c>
      <c r="BY37" s="105">
        <f>BY12*Цены!C74*(1-Предпосылки!$B$34)*1000</f>
        <v>0</v>
      </c>
      <c r="BZ37" s="105">
        <f>BZ12*Цены!D74*(1-Предпосылки!$B$34)*1000</f>
        <v>0</v>
      </c>
      <c r="CA37" s="105">
        <f>CA12*Цены!E74*(1-Предпосылки!$B$34)*1000</f>
        <v>0</v>
      </c>
      <c r="CB37" s="105">
        <f>CB12*Цены!F74*(1-Предпосылки!$B$34)*1000</f>
        <v>362089.2446682243</v>
      </c>
      <c r="CC37" s="105">
        <f>CC12*Цены!G74*(1-Предпосылки!$B$34)*1000</f>
        <v>404138.31824259867</v>
      </c>
      <c r="CD37" s="105">
        <f>CD12*Цены!H74*(1-Предпосылки!$B$34)*1000</f>
        <v>448523.45145999402</v>
      </c>
      <c r="CE37" s="105">
        <f>CE12*Цены!I74*(1-Предпосылки!$B$34)*1000</f>
        <v>439179.21288791083</v>
      </c>
      <c r="CF37" s="105">
        <f>CF12*Цены!J74*(1-Предпосылки!$B$34)*1000</f>
        <v>292007.45537760027</v>
      </c>
      <c r="CG37" s="105">
        <f>CG12*Цены!K74*(1-Предпосылки!$B$34)*1000</f>
        <v>270982.918590413</v>
      </c>
      <c r="CH37" s="105">
        <f>CH12*Цены!L74*(1-Предпосылки!$B$34)*1000</f>
        <v>0</v>
      </c>
      <c r="CI37" s="105">
        <f>CI12*Цены!M74*(1-Предпосылки!$B$34)*1000</f>
        <v>0</v>
      </c>
      <c r="CJ37" s="105">
        <f>CJ12*Цены!B81*(1-Предпосылки!$B$34)*1000</f>
        <v>0</v>
      </c>
      <c r="CK37" s="105">
        <f>CK12*Цены!C81*(1-Предпосылки!$B$34)*1000</f>
        <v>0</v>
      </c>
      <c r="CL37" s="105">
        <f>CL12*Цены!D81*(1-Предпосылки!$B$34)*1000</f>
        <v>0</v>
      </c>
      <c r="CM37" s="105">
        <f>CM12*Цены!E81*(1-Предпосылки!$B$34)*1000</f>
        <v>0</v>
      </c>
      <c r="CN37" s="105">
        <f>CN12*Цены!F81*(1-Предпосылки!$B$34)*1000</f>
        <v>382004.15312497661</v>
      </c>
      <c r="CO37" s="105">
        <f>CO12*Цены!G81*(1-Предпосылки!$B$34)*1000</f>
        <v>426365.92574594164</v>
      </c>
      <c r="CP37" s="105">
        <f>CP12*Цены!H81*(1-Предпосылки!$B$34)*1000</f>
        <v>473192.24129029369</v>
      </c>
      <c r="CQ37" s="105">
        <f>CQ12*Цены!I81*(1-Предпосылки!$B$34)*1000</f>
        <v>463334.06959674583</v>
      </c>
      <c r="CR37" s="105">
        <f>CR12*Цены!J81*(1-Предпосылки!$B$34)*1000</f>
        <v>308067.86542336829</v>
      </c>
      <c r="CS37" s="105">
        <f>CS12*Цены!K81*(1-Предпосылки!$B$34)*1000</f>
        <v>285886.97911288572</v>
      </c>
      <c r="CT37" s="105">
        <f>CT12*Цены!L81*(1-Предпосылки!$B$34)*1000</f>
        <v>0</v>
      </c>
      <c r="CU37" s="105">
        <f>CU12*Цены!M81*(1-Предпосылки!$B$34)*1000</f>
        <v>0</v>
      </c>
      <c r="CV37" s="105">
        <f>CV12*Цены!B88*(1-Предпосылки!$B$34)*1000</f>
        <v>0</v>
      </c>
      <c r="CW37" s="105">
        <f>CW12*Цены!C88*(1-Предпосылки!$B$34)*1000</f>
        <v>0</v>
      </c>
      <c r="CX37" s="105">
        <f>CX12*Цены!D88*(1-Предпосылки!$B$34)*1000</f>
        <v>0</v>
      </c>
      <c r="CY37" s="105">
        <f>CY12*Цены!E88*(1-Предпосылки!$B$34)*1000</f>
        <v>0</v>
      </c>
      <c r="CZ37" s="105">
        <f>CZ12*Цены!F88*(1-Предпосылки!$B$34)*1000</f>
        <v>403014.38154685032</v>
      </c>
      <c r="DA37" s="105">
        <f>DA12*Цены!G88*(1-Предпосылки!$B$34)*1000</f>
        <v>449816.05166196841</v>
      </c>
      <c r="DB37" s="105">
        <f>DB12*Цены!H88*(1-Предпосылки!$B$34)*1000</f>
        <v>499217.81456125982</v>
      </c>
      <c r="DC37" s="105">
        <f>DC12*Цены!I88*(1-Предпосылки!$B$34)*1000</f>
        <v>488817.44342456682</v>
      </c>
      <c r="DD37" s="105">
        <f>DD12*Цены!J88*(1-Предпосылки!$B$34)*1000</f>
        <v>325011.59802165348</v>
      </c>
      <c r="DE37" s="105">
        <f>DE12*Цены!K88*(1-Предпосылки!$B$34)*1000</f>
        <v>301610.76296409441</v>
      </c>
      <c r="DF37" s="105">
        <f>DF12*Цены!L88*(1-Предпосылки!$B$34)*1000</f>
        <v>0</v>
      </c>
      <c r="DG37" s="105">
        <f>DG12*Цены!M88*(1-Предпосылки!$B$34)*1000</f>
        <v>0</v>
      </c>
      <c r="DH37" s="105">
        <f>DH12*Цены!B95*(1-Предпосылки!$B$34)*1000</f>
        <v>0</v>
      </c>
      <c r="DI37" s="105">
        <f>DI12*Цены!C95*(1-Предпосылки!$B$34)*1000</f>
        <v>0</v>
      </c>
      <c r="DJ37" s="105">
        <f>DJ12*Цены!D95*(1-Предпосылки!$B$34)*1000</f>
        <v>0</v>
      </c>
      <c r="DK37" s="105">
        <f>DK12*Цены!E95*(1-Предпосылки!$B$34)*1000</f>
        <v>0</v>
      </c>
      <c r="DL37" s="105">
        <f>DL12*Цены!F95*(1-Предпосылки!$B$34)*1000</f>
        <v>425180.17253192712</v>
      </c>
      <c r="DM37" s="105">
        <f>DM12*Цены!G95*(1-Предпосылки!$B$34)*1000</f>
        <v>474555.9345033766</v>
      </c>
      <c r="DN37" s="105">
        <f>DN12*Цены!H95*(1-Предпосылки!$B$34)*1000</f>
        <v>526674.79436212906</v>
      </c>
      <c r="DO37" s="105">
        <f>DO12*Цены!I95*(1-Предпосылки!$B$34)*1000</f>
        <v>515702.40281291795</v>
      </c>
      <c r="DP37" s="105">
        <f>DP12*Цены!J95*(1-Предпосылки!$B$34)*1000</f>
        <v>342887.23591284442</v>
      </c>
      <c r="DQ37" s="105">
        <f>DQ12*Цены!K95*(1-Предпосылки!$B$34)*1000</f>
        <v>318199.35492711957</v>
      </c>
      <c r="DR37" s="105">
        <f>DR12*Цены!L95*(1-Предпосылки!$B$34)*1000</f>
        <v>0</v>
      </c>
      <c r="DS37" s="105">
        <f>DS12*Цены!M95*(1-Предпосылки!$B$34)*1000</f>
        <v>0</v>
      </c>
      <c r="DT37" s="105">
        <f>DT12*Цены!B102*(1-Предпосылки!$B$34)*1000</f>
        <v>0</v>
      </c>
      <c r="DU37" s="105">
        <f>DU12*Цены!C102*(1-Предпосылки!$B$34)*1000</f>
        <v>0</v>
      </c>
      <c r="DV37" s="105">
        <f>DV12*Цены!D102*(1-Предпосылки!$B$34)*1000</f>
        <v>0</v>
      </c>
      <c r="DW37" s="105">
        <f>DW12*Цены!E102*(1-Предпосылки!$B$34)*1000</f>
        <v>0</v>
      </c>
      <c r="DX37" s="105">
        <f>DX12*Цены!F102*(1-Предпосылки!$B$34)*1000</f>
        <v>448565.08202118304</v>
      </c>
      <c r="DY37" s="105">
        <f>DY12*Цены!G102*(1-Предпосылки!$B$34)*1000</f>
        <v>500656.51090106234</v>
      </c>
      <c r="DZ37" s="105">
        <f>DZ12*Цены!H102*(1-Предпосылки!$B$34)*1000</f>
        <v>555641.90805204608</v>
      </c>
      <c r="EA37" s="105">
        <f>EA12*Цены!I102*(1-Предпосылки!$B$34)*1000</f>
        <v>544066.03496762854</v>
      </c>
      <c r="EB37" s="105">
        <f>EB12*Цены!J102*(1-Предпосылки!$B$34)*1000</f>
        <v>361746.03388805088</v>
      </c>
      <c r="EC37" s="105">
        <f>EC12*Цены!K102*(1-Предпосылки!$B$34)*1000</f>
        <v>335700.31944811117</v>
      </c>
      <c r="ED37" s="105">
        <f>ED12*Цены!L102*(1-Предпосылки!$B$34)*1000</f>
        <v>0</v>
      </c>
      <c r="EE37" s="105">
        <f>EE12*Цены!M102*(1-Предпосылки!$B$34)*1000</f>
        <v>0</v>
      </c>
      <c r="EF37" s="105">
        <f>EF12*Цены!B109*(1-Предпосылки!$B$34)*1000</f>
        <v>0</v>
      </c>
      <c r="EG37" s="105">
        <f>EG12*Цены!C109*(1-Предпосылки!$B$34)*1000</f>
        <v>0</v>
      </c>
      <c r="EH37" s="105">
        <f>EH12*Цены!D109*(1-Предпосылки!$B$34)*1000</f>
        <v>0</v>
      </c>
      <c r="EI37" s="105">
        <f>EI12*Цены!E109*(1-Предпосылки!$B$34)*1000</f>
        <v>0</v>
      </c>
      <c r="EJ37" s="105">
        <f>EJ12*Цены!F109*(1-Предпосылки!$B$34)*1000</f>
        <v>473236.16153234802</v>
      </c>
      <c r="EK37" s="105">
        <f>EK12*Цены!G109*(1-Предпосылки!$B$34)*1000</f>
        <v>528192.61900062067</v>
      </c>
      <c r="EL37" s="105">
        <f>EL12*Цены!H109*(1-Предпосылки!$B$34)*1000</f>
        <v>586202.21299490856</v>
      </c>
      <c r="EM37" s="105">
        <f>EM12*Цены!I109*(1-Предпосылки!$B$34)*1000</f>
        <v>573989.66689084808</v>
      </c>
      <c r="EN37" s="105">
        <f>EN12*Цены!J109*(1-Предпосылки!$B$34)*1000</f>
        <v>381642.06575189368</v>
      </c>
      <c r="EO37" s="105">
        <f>EO12*Цены!K109*(1-Предпосылки!$B$34)*1000</f>
        <v>354163.83701775718</v>
      </c>
      <c r="EP37" s="105">
        <f>EP12*Цены!L109*(1-Предпосылки!$B$34)*1000</f>
        <v>0</v>
      </c>
      <c r="EQ37" s="105">
        <f>EQ12*Цены!M109*(1-Предпосылки!$B$34)*1000</f>
        <v>0</v>
      </c>
      <c r="ER37" s="105">
        <f>ER12*Цены!B116*(1-Предпосылки!$B$34)*1000</f>
        <v>0</v>
      </c>
      <c r="ES37" s="105">
        <f>ES12*Цены!C116*(1-Предпосылки!$B$34)*1000</f>
        <v>0</v>
      </c>
      <c r="ET37" s="105">
        <f>ET12*Цены!D116*(1-Предпосылки!$B$34)*1000</f>
        <v>0</v>
      </c>
      <c r="EU37" s="105">
        <f>EU12*Цены!E116*(1-Предпосылки!$B$34)*1000</f>
        <v>0</v>
      </c>
      <c r="EV37" s="105">
        <f>EV12*Цены!F116*(1-Предпосылки!$B$34)*1000</f>
        <v>499264.15041662724</v>
      </c>
      <c r="EW37" s="105">
        <f>EW12*Цены!G116*(1-Предпосылки!$B$34)*1000</f>
        <v>557243.21304565482</v>
      </c>
      <c r="EX37" s="105">
        <f>EX12*Цены!H116*(1-Предпосылки!$B$34)*1000</f>
        <v>618443.3347096286</v>
      </c>
      <c r="EY37" s="105">
        <f>EY12*Цены!I116*(1-Предпосылки!$B$34)*1000</f>
        <v>605559.0985698445</v>
      </c>
      <c r="EZ37" s="105">
        <f>EZ12*Цены!J116*(1-Предпосылки!$B$34)*1000</f>
        <v>402632.37936824776</v>
      </c>
      <c r="FA37" s="105">
        <f>FA12*Цены!K116*(1-Предпосылки!$B$34)*1000</f>
        <v>373642.84805373382</v>
      </c>
      <c r="FB37" s="105">
        <f>FB12*Цены!L116*(1-Предпосылки!$B$34)*1000</f>
        <v>0</v>
      </c>
      <c r="FC37" s="105">
        <f>FC12*Цены!M116*(1-Предпосылки!$B$34)*1000</f>
        <v>0</v>
      </c>
      <c r="FD37" s="105">
        <f>FD12*Цены!B123*(1-Предпосылки!$B$34)*1000</f>
        <v>0</v>
      </c>
      <c r="FE37" s="105">
        <f>FE12*Цены!C123*(1-Предпосылки!$B$34)*1000</f>
        <v>0</v>
      </c>
      <c r="FF37" s="105">
        <f>FF12*Цены!D123*(1-Предпосылки!$B$34)*1000</f>
        <v>0</v>
      </c>
      <c r="FG37" s="105">
        <f>FG12*Цены!E123*(1-Предпосылки!$B$34)*1000</f>
        <v>0</v>
      </c>
      <c r="FH37" s="105">
        <f>FH12*Цены!F123*(1-Предпосылки!$B$34)*1000</f>
        <v>526723.67868954164</v>
      </c>
      <c r="FI37" s="105">
        <f>FI12*Цены!G123*(1-Предпосылки!$B$34)*1000</f>
        <v>587891.58976316568</v>
      </c>
      <c r="FJ37" s="105">
        <f>FJ12*Цены!H123*(1-Предпосылки!$B$34)*1000</f>
        <v>652457.71811865817</v>
      </c>
      <c r="FK37" s="105">
        <f>FK12*Цены!I123*(1-Предпосылки!$B$34)*1000</f>
        <v>638864.84899118601</v>
      </c>
      <c r="FL37" s="105">
        <f>FL12*Цены!J123*(1-Предпосылки!$B$34)*1000</f>
        <v>424777.1602335014</v>
      </c>
      <c r="FM37" s="105">
        <f>FM12*Цены!K123*(1-Предпосылки!$B$34)*1000</f>
        <v>394193.20469668915</v>
      </c>
      <c r="FN37" s="105">
        <f>FN12*Цены!L123*(1-Предпосылки!$B$34)*1000</f>
        <v>0</v>
      </c>
      <c r="FO37" s="105">
        <f>FO12*Цены!M123*(1-Предпосылки!$B$34)*1000</f>
        <v>0</v>
      </c>
    </row>
    <row r="38" spans="1:171">
      <c r="A38" s="87" t="s">
        <v>342</v>
      </c>
      <c r="B38" s="105">
        <f>B13*Цены!L26*(1-Предпосылки!$B$34)*1000</f>
        <v>156769.93082850825</v>
      </c>
      <c r="C38" s="105">
        <f>C13*Цены!M26*(1-Предпосылки!$B$34)*1000</f>
        <v>161473.02875336347</v>
      </c>
      <c r="D38" s="105">
        <f>D13*Цены!B26*(1-Предпосылки!$B$34)*1000</f>
        <v>227316.39970133692</v>
      </c>
      <c r="E38" s="105">
        <f>E13*Цены!C26*(1-Предпосылки!$B$34)*1000</f>
        <v>0</v>
      </c>
      <c r="F38" s="105">
        <f>F13*Цены!D26*(1-Предпосылки!$B$34)*1000</f>
        <v>0</v>
      </c>
      <c r="G38" s="105">
        <f>G13*Цены!E26*(1-Предпосылки!$B$34)*1000</f>
        <v>0</v>
      </c>
      <c r="H38" s="105">
        <f>H13*Цены!F26*(1-Предпосылки!$B$34)*1000</f>
        <v>155202.23152022317</v>
      </c>
      <c r="I38" s="105">
        <f>I13*Цены!G26*(1-Предпосылки!$B$34)*1000</f>
        <v>124632.09500866405</v>
      </c>
      <c r="J38" s="105">
        <f>J13*Цены!H26*(1-Предпосылки!$B$34)*1000</f>
        <v>94845.808151247489</v>
      </c>
      <c r="K38" s="105">
        <f>K13*Цены!I26*(1-Предпосылки!$B$34)*1000</f>
        <v>82304.213684966831</v>
      </c>
      <c r="L38" s="105">
        <f>L13*Цены!J26*(1-Предпосылки!$B$34)*1000</f>
        <v>78384.965414254126</v>
      </c>
      <c r="M38" s="105">
        <f>M13*Цены!K26*(1-Предпосылки!$B$34)*1000</f>
        <v>76033.416451826502</v>
      </c>
      <c r="N38" s="105">
        <f>N13*Цены!L26*(1-Предпосылки!$B$34)*1000</f>
        <v>0</v>
      </c>
      <c r="O38" s="105">
        <f>O13*Цены!M26*(1-Предпосылки!$B$34)*1000</f>
        <v>0</v>
      </c>
      <c r="P38" s="105">
        <f>P13*Цены!B40*(1-Предпосылки!$B$34)*1000</f>
        <v>0</v>
      </c>
      <c r="Q38" s="105">
        <f>Q13*Цены!C40*(1-Предпосылки!$B$34)*1000</f>
        <v>0</v>
      </c>
      <c r="R38" s="105">
        <f>R13*Цены!D40*(1-Предпосылки!$B$34)*1000</f>
        <v>0</v>
      </c>
      <c r="S38" s="105">
        <f>S13*Цены!E40*(1-Предпосылки!$B$34)*1000</f>
        <v>0</v>
      </c>
      <c r="T38" s="105">
        <f>T13*Цены!F40*(1-Предпосылки!$B$34)*1000</f>
        <v>176952.54906416743</v>
      </c>
      <c r="U38" s="105">
        <f>U13*Цены!G40*(1-Предпосылки!$B$34)*1000</f>
        <v>142098.25909698295</v>
      </c>
      <c r="V38" s="105">
        <f>V13*Цены!H40*(1-Предпосылки!$B$34)*1000</f>
        <v>108137.66887254674</v>
      </c>
      <c r="W38" s="105">
        <f>W13*Цены!I40*(1-Предпосылки!$B$34)*1000</f>
        <v>93838.472988573616</v>
      </c>
      <c r="X38" s="105">
        <f>X13*Цены!J40*(1-Предпосылки!$B$34)*1000</f>
        <v>89369.974274832013</v>
      </c>
      <c r="Y38" s="105">
        <f>Y13*Цены!K40*(1-Предпосылки!$B$34)*1000</f>
        <v>86688.875046587054</v>
      </c>
      <c r="Z38" s="105">
        <f>Z13*Цены!L40*(1-Предпосылки!$B$34)*1000</f>
        <v>0</v>
      </c>
      <c r="AA38" s="105">
        <f>AA13*Цены!M40*(1-Предпосылки!$B$34)*1000</f>
        <v>0</v>
      </c>
      <c r="AB38" s="105">
        <f>AB13*Цены!B47*(1-Предпосылки!$B$34)*1000</f>
        <v>0</v>
      </c>
      <c r="AC38" s="105">
        <f>AC13*Цены!C47*(1-Предпосылки!$B$34)*1000</f>
        <v>0</v>
      </c>
      <c r="AD38" s="105">
        <f>AD13*Цены!D47*(1-Предпосылки!$B$34)*1000</f>
        <v>0</v>
      </c>
      <c r="AE38" s="105">
        <f>AE13*Цены!E47*(1-Предпосылки!$B$34)*1000</f>
        <v>0</v>
      </c>
      <c r="AF38" s="105">
        <f>AF13*Цены!F47*(1-Предпосылки!$B$34)*1000</f>
        <v>186684.93926269663</v>
      </c>
      <c r="AG38" s="105">
        <f>AG13*Цены!G47*(1-Предпосылки!$B$34)*1000</f>
        <v>149913.66334731699</v>
      </c>
      <c r="AH38" s="105">
        <f>AH13*Цены!H47*(1-Предпосылки!$B$34)*1000</f>
        <v>114085.2406605368</v>
      </c>
      <c r="AI38" s="105">
        <f>AI13*Цены!I47*(1-Предпосылки!$B$34)*1000</f>
        <v>98999.589002945169</v>
      </c>
      <c r="AJ38" s="105">
        <f>AJ13*Цены!J47*(1-Предпосылки!$B$34)*1000</f>
        <v>94285.322859947773</v>
      </c>
      <c r="AK38" s="105">
        <f>AK13*Цены!K47*(1-Предпосылки!$B$34)*1000</f>
        <v>91456.763174149339</v>
      </c>
      <c r="AL38" s="105">
        <f>AL13*Цены!L47*(1-Предпосылки!$B$34)*1000</f>
        <v>0</v>
      </c>
      <c r="AM38" s="105">
        <f>AM13*Цены!M47*(1-Предпосылки!$B$34)*1000</f>
        <v>0</v>
      </c>
      <c r="AN38" s="105">
        <f>AN13*Цены!B54*(1-Предпосылки!$B$34)*1000</f>
        <v>0</v>
      </c>
      <c r="AO38" s="105">
        <f>AO13*Цены!C54*(1-Предпосылки!$B$34)*1000</f>
        <v>0</v>
      </c>
      <c r="AP38" s="105">
        <f>AP13*Цены!D54*(1-Предпосылки!$B$34)*1000</f>
        <v>0</v>
      </c>
      <c r="AQ38" s="105">
        <f>AQ13*Цены!E54*(1-Предпосылки!$B$34)*1000</f>
        <v>0</v>
      </c>
      <c r="AR38" s="105">
        <f>AR13*Цены!F54*(1-Предпосылки!$B$34)*1000</f>
        <v>196952.61092214493</v>
      </c>
      <c r="AS38" s="105">
        <f>AS13*Цены!G54*(1-Предпосылки!$B$34)*1000</f>
        <v>158158.91483141942</v>
      </c>
      <c r="AT38" s="105">
        <f>AT13*Цены!H54*(1-Предпосылки!$B$34)*1000</f>
        <v>120359.92889686632</v>
      </c>
      <c r="AU38" s="105">
        <f>AU13*Цены!I54*(1-Предпосылки!$B$34)*1000</f>
        <v>104444.56639810714</v>
      </c>
      <c r="AV38" s="105">
        <f>AV13*Цены!J54*(1-Предпосылки!$B$34)*1000</f>
        <v>99471.015617244906</v>
      </c>
      <c r="AW38" s="105">
        <f>AW13*Цены!K54*(1-Предпосылки!$B$34)*1000</f>
        <v>96486.885148727553</v>
      </c>
      <c r="AX38" s="105">
        <f>AX13*Цены!L54*(1-Предпосылки!$B$34)*1000</f>
        <v>0</v>
      </c>
      <c r="AY38" s="105">
        <f>AY13*Цены!M54*(1-Предпосылки!$B$34)*1000</f>
        <v>0</v>
      </c>
      <c r="AZ38" s="105">
        <f>AZ13*Цены!B61*(1-Предпосылки!$B$34)*1000</f>
        <v>0</v>
      </c>
      <c r="BA38" s="105">
        <f>BA13*Цены!C61*(1-Предпосылки!$B$34)*1000</f>
        <v>0</v>
      </c>
      <c r="BB38" s="105">
        <f>BB13*Цены!D61*(1-Предпосылки!$B$34)*1000</f>
        <v>0</v>
      </c>
      <c r="BC38" s="105">
        <f>BC13*Цены!E61*(1-Предпосылки!$B$34)*1000</f>
        <v>0</v>
      </c>
      <c r="BD38" s="105">
        <f>BD13*Цены!F61*(1-Предпосылки!$B$34)*1000</f>
        <v>207785.0045228629</v>
      </c>
      <c r="BE38" s="105">
        <f>BE13*Цены!G61*(1-Предпосылки!$B$34)*1000</f>
        <v>166857.65514714748</v>
      </c>
      <c r="BF38" s="105">
        <f>BF13*Цены!H61*(1-Предпосылки!$B$34)*1000</f>
        <v>126979.72498619396</v>
      </c>
      <c r="BG38" s="105">
        <f>BG13*Цены!I61*(1-Предпосылки!$B$34)*1000</f>
        <v>110189.01755000303</v>
      </c>
      <c r="BH38" s="105">
        <f>BH13*Цены!J61*(1-Предпосылки!$B$34)*1000</f>
        <v>104941.92147619335</v>
      </c>
      <c r="BI38" s="105">
        <f>BI13*Цены!K61*(1-Предпосылки!$B$34)*1000</f>
        <v>101793.66383190757</v>
      </c>
      <c r="BJ38" s="105">
        <f>BJ13*Цены!L61*(1-Предпосылки!$B$34)*1000</f>
        <v>0</v>
      </c>
      <c r="BK38" s="105">
        <f>BK13*Цены!M61*(1-Предпосылки!$B$34)*1000</f>
        <v>0</v>
      </c>
      <c r="BL38" s="105">
        <f>BL13*Цены!B68*(1-Предпосылки!$B$34)*1000</f>
        <v>0</v>
      </c>
      <c r="BM38" s="105">
        <f>BM13*Цены!C68*(1-Предпосылки!$B$34)*1000</f>
        <v>0</v>
      </c>
      <c r="BN38" s="105">
        <f>BN13*Цены!D68*(1-Предпосылки!$B$34)*1000</f>
        <v>0</v>
      </c>
      <c r="BO38" s="105">
        <f>BO13*Цены!E68*(1-Предпосылки!$B$34)*1000</f>
        <v>0</v>
      </c>
      <c r="BP38" s="105">
        <f>BP13*Цены!F68*(1-Предпосылки!$B$34)*1000</f>
        <v>219213.17977162037</v>
      </c>
      <c r="BQ38" s="105">
        <f>BQ13*Цены!G68*(1-Предпосылки!$B$34)*1000</f>
        <v>176034.82618024061</v>
      </c>
      <c r="BR38" s="105">
        <f>BR13*Цены!H68*(1-Предпосылки!$B$34)*1000</f>
        <v>133963.60986043463</v>
      </c>
      <c r="BS38" s="105">
        <f>BS13*Цены!I68*(1-Предпосылки!$B$34)*1000</f>
        <v>116249.4135152532</v>
      </c>
      <c r="BT38" s="105">
        <f>BT13*Цены!J68*(1-Предпосылки!$B$34)*1000</f>
        <v>110713.72715738397</v>
      </c>
      <c r="BU38" s="105">
        <f>BU13*Цены!K68*(1-Предпосылки!$B$34)*1000</f>
        <v>107392.31534266248</v>
      </c>
      <c r="BV38" s="105">
        <f>BV13*Цены!L68*(1-Предпосылки!$B$34)*1000</f>
        <v>0</v>
      </c>
      <c r="BW38" s="105">
        <f>BW13*Цены!M68*(1-Предпосылки!$B$34)*1000</f>
        <v>0</v>
      </c>
      <c r="BX38" s="105">
        <f>BX13*Цены!B75*(1-Предпосылки!$B$34)*1000</f>
        <v>0</v>
      </c>
      <c r="BY38" s="105">
        <f>BY13*Цены!C75*(1-Предпосылки!$B$34)*1000</f>
        <v>0</v>
      </c>
      <c r="BZ38" s="105">
        <f>BZ13*Цены!D75*(1-Предпосылки!$B$34)*1000</f>
        <v>0</v>
      </c>
      <c r="CA38" s="105">
        <f>CA13*Цены!E75*(1-Предпосылки!$B$34)*1000</f>
        <v>0</v>
      </c>
      <c r="CB38" s="105">
        <f>CB13*Цены!F75*(1-Предпосылки!$B$34)*1000</f>
        <v>231269.90465905948</v>
      </c>
      <c r="CC38" s="105">
        <f>CC13*Цены!G75*(1-Предпосылки!$B$34)*1000</f>
        <v>185716.74162015383</v>
      </c>
      <c r="CD38" s="105">
        <f>CD13*Цены!H75*(1-Предпосылки!$B$34)*1000</f>
        <v>141331.60840275852</v>
      </c>
      <c r="CE38" s="105">
        <f>CE13*Цены!I75*(1-Предпосылки!$B$34)*1000</f>
        <v>122643.13125859211</v>
      </c>
      <c r="CF38" s="105">
        <f>CF13*Цены!J75*(1-Предпосылки!$B$34)*1000</f>
        <v>116802.98215104008</v>
      </c>
      <c r="CG38" s="105">
        <f>CG13*Цены!K75*(1-Предпосылки!$B$34)*1000</f>
        <v>113298.8926865089</v>
      </c>
      <c r="CH38" s="105">
        <f>CH13*Цены!L75*(1-Предпосылки!$B$34)*1000</f>
        <v>0</v>
      </c>
      <c r="CI38" s="105">
        <f>CI13*Цены!M75*(1-Предпосылки!$B$34)*1000</f>
        <v>0</v>
      </c>
      <c r="CJ38" s="105">
        <f>CJ13*Цены!B82*(1-Предпосылки!$B$34)*1000</f>
        <v>0</v>
      </c>
      <c r="CK38" s="105">
        <f>CK13*Цены!C82*(1-Предпосылки!$B$34)*1000</f>
        <v>0</v>
      </c>
      <c r="CL38" s="105">
        <f>CL13*Цены!D82*(1-Предпосылки!$B$34)*1000</f>
        <v>0</v>
      </c>
      <c r="CM38" s="105">
        <f>CM13*Цены!E82*(1-Предпосылки!$B$34)*1000</f>
        <v>0</v>
      </c>
      <c r="CN38" s="105">
        <f>CN13*Цены!F82*(1-Предпосылки!$B$34)*1000</f>
        <v>243989.74941530771</v>
      </c>
      <c r="CO38" s="105">
        <f>CO13*Цены!G82*(1-Предпосылки!$B$34)*1000</f>
        <v>195931.1624092623</v>
      </c>
      <c r="CP38" s="105">
        <f>CP13*Цены!H82*(1-Предпосылки!$B$34)*1000</f>
        <v>149104.84686491024</v>
      </c>
      <c r="CQ38" s="105">
        <f>CQ13*Цены!I82*(1-Предпосылки!$B$34)*1000</f>
        <v>129388.50347781465</v>
      </c>
      <c r="CR38" s="105">
        <f>CR13*Цены!J82*(1-Предпосылки!$B$34)*1000</f>
        <v>123227.1461693473</v>
      </c>
      <c r="CS38" s="105">
        <f>CS13*Цены!K82*(1-Предпосылки!$B$34)*1000</f>
        <v>119530.33178426689</v>
      </c>
      <c r="CT38" s="105">
        <f>CT13*Цены!L82*(1-Предпосылки!$B$34)*1000</f>
        <v>0</v>
      </c>
      <c r="CU38" s="105">
        <f>CU13*Цены!M82*(1-Предпосылки!$B$34)*1000</f>
        <v>0</v>
      </c>
      <c r="CV38" s="105">
        <f>CV13*Цены!B89*(1-Предпосылки!$B$34)*1000</f>
        <v>0</v>
      </c>
      <c r="CW38" s="105">
        <f>CW13*Цены!C89*(1-Предпосылки!$B$34)*1000</f>
        <v>0</v>
      </c>
      <c r="CX38" s="105">
        <f>CX13*Цены!D89*(1-Предпосылки!$B$34)*1000</f>
        <v>0</v>
      </c>
      <c r="CY38" s="105">
        <f>CY13*Цены!E89*(1-Предпосылки!$B$34)*1000</f>
        <v>0</v>
      </c>
      <c r="CZ38" s="105">
        <f>CZ13*Цены!F89*(1-Предпосылки!$B$34)*1000</f>
        <v>257409.18563314961</v>
      </c>
      <c r="DA38" s="105">
        <f>DA13*Цены!G89*(1-Предпосылки!$B$34)*1000</f>
        <v>206707.37634177168</v>
      </c>
      <c r="DB38" s="105">
        <f>DB13*Цены!H89*(1-Предпосылки!$B$34)*1000</f>
        <v>157305.61344248027</v>
      </c>
      <c r="DC38" s="105">
        <f>DC13*Цены!I89*(1-Предпосылки!$B$34)*1000</f>
        <v>136504.87116909446</v>
      </c>
      <c r="DD38" s="105">
        <f>DD13*Цены!J89*(1-Предпосылки!$B$34)*1000</f>
        <v>130004.63920866139</v>
      </c>
      <c r="DE38" s="105">
        <f>DE13*Цены!K89*(1-Предпосылки!$B$34)*1000</f>
        <v>126104.50003240156</v>
      </c>
      <c r="DF38" s="105">
        <f>DF13*Цены!L89*(1-Предпосылки!$B$34)*1000</f>
        <v>0</v>
      </c>
      <c r="DG38" s="105">
        <f>DG13*Цены!M89*(1-Предпосылки!$B$34)*1000</f>
        <v>0</v>
      </c>
      <c r="DH38" s="105">
        <f>DH13*Цены!B96*(1-Предпосылки!$B$34)*1000</f>
        <v>0</v>
      </c>
      <c r="DI38" s="105">
        <f>DI13*Цены!C96*(1-Предпосылки!$B$34)*1000</f>
        <v>0</v>
      </c>
      <c r="DJ38" s="105">
        <f>DJ13*Цены!D96*(1-Предпосылки!$B$34)*1000</f>
        <v>0</v>
      </c>
      <c r="DK38" s="105">
        <f>DK13*Цены!E96*(1-Предпосылки!$B$34)*1000</f>
        <v>0</v>
      </c>
      <c r="DL38" s="105">
        <f>DL13*Цены!F96*(1-Предпосылки!$B$34)*1000</f>
        <v>271566.69084297284</v>
      </c>
      <c r="DM38" s="105">
        <f>DM13*Цены!G96*(1-Предпосылки!$B$34)*1000</f>
        <v>218076.28204056915</v>
      </c>
      <c r="DN38" s="105">
        <f>DN13*Цены!H96*(1-Предпосылки!$B$34)*1000</f>
        <v>165957.42218181668</v>
      </c>
      <c r="DO38" s="105">
        <f>DO13*Цены!I96*(1-Предпосылки!$B$34)*1000</f>
        <v>144012.63908339464</v>
      </c>
      <c r="DP38" s="105">
        <f>DP13*Цены!J96*(1-Предпосылки!$B$34)*1000</f>
        <v>137154.89436513779</v>
      </c>
      <c r="DQ38" s="105">
        <f>DQ13*Цены!K96*(1-Предпосылки!$B$34)*1000</f>
        <v>133040.24753418364</v>
      </c>
      <c r="DR38" s="105">
        <f>DR13*Цены!L96*(1-Предпосылки!$B$34)*1000</f>
        <v>0</v>
      </c>
      <c r="DS38" s="105">
        <f>DS13*Цены!M96*(1-Предпосылки!$B$34)*1000</f>
        <v>0</v>
      </c>
      <c r="DT38" s="105">
        <f>DT13*Цены!B103*(1-Предпосылки!$B$34)*1000</f>
        <v>0</v>
      </c>
      <c r="DU38" s="105">
        <f>DU13*Цены!C103*(1-Предпосылки!$B$34)*1000</f>
        <v>0</v>
      </c>
      <c r="DV38" s="105">
        <f>DV13*Цены!D103*(1-Предпосылки!$B$34)*1000</f>
        <v>0</v>
      </c>
      <c r="DW38" s="105">
        <f>DW13*Цены!E103*(1-Предпосылки!$B$34)*1000</f>
        <v>0</v>
      </c>
      <c r="DX38" s="105">
        <f>DX13*Цены!F103*(1-Предпосылки!$B$34)*1000</f>
        <v>286502.85883933626</v>
      </c>
      <c r="DY38" s="105">
        <f>DY13*Цены!G103*(1-Предпосылки!$B$34)*1000</f>
        <v>230070.47755280044</v>
      </c>
      <c r="DZ38" s="105">
        <f>DZ13*Цены!H103*(1-Предпосылки!$B$34)*1000</f>
        <v>175085.08040181661</v>
      </c>
      <c r="EA38" s="105">
        <f>EA13*Цены!I103*(1-Предпосылки!$B$34)*1000</f>
        <v>151933.33423298137</v>
      </c>
      <c r="EB38" s="105">
        <f>EB13*Цены!J103*(1-Предпосылки!$B$34)*1000</f>
        <v>144698.41355522032</v>
      </c>
      <c r="EC38" s="105">
        <f>EC13*Цены!K103*(1-Предпосылки!$B$34)*1000</f>
        <v>140357.46114856371</v>
      </c>
      <c r="ED38" s="105">
        <f>ED13*Цены!L103*(1-Предпосылки!$B$34)*1000</f>
        <v>0</v>
      </c>
      <c r="EE38" s="105">
        <f>EE13*Цены!M103*(1-Предпосылки!$B$34)*1000</f>
        <v>0</v>
      </c>
      <c r="EF38" s="105">
        <f>EF13*Цены!B110*(1-Предпосылки!$B$34)*1000</f>
        <v>0</v>
      </c>
      <c r="EG38" s="105">
        <f>EG13*Цены!C110*(1-Предпосылки!$B$34)*1000</f>
        <v>0</v>
      </c>
      <c r="EH38" s="105">
        <f>EH13*Цены!D110*(1-Предпосылки!$B$34)*1000</f>
        <v>0</v>
      </c>
      <c r="EI38" s="105">
        <f>EI13*Цены!E110*(1-Предпосылки!$B$34)*1000</f>
        <v>0</v>
      </c>
      <c r="EJ38" s="105">
        <f>EJ13*Цены!F110*(1-Предпосылки!$B$34)*1000</f>
        <v>302260.51607549976</v>
      </c>
      <c r="EK38" s="105">
        <f>EK13*Цены!G110*(1-Предпосылки!$B$34)*1000</f>
        <v>242724.35381820443</v>
      </c>
      <c r="EL38" s="105">
        <f>EL13*Цены!H110*(1-Предпосылки!$B$34)*1000</f>
        <v>184714.75982391651</v>
      </c>
      <c r="EM38" s="105">
        <f>EM13*Цены!I110*(1-Предпосылки!$B$34)*1000</f>
        <v>160289.66761579533</v>
      </c>
      <c r="EN38" s="105">
        <f>EN13*Цены!J110*(1-Предпосылки!$B$34)*1000</f>
        <v>152656.82630075741</v>
      </c>
      <c r="EO38" s="105">
        <f>EO13*Цены!K110*(1-Предпосылки!$B$34)*1000</f>
        <v>148077.12151173473</v>
      </c>
      <c r="EP38" s="105">
        <f>EP13*Цены!L110*(1-Предпосылки!$B$34)*1000</f>
        <v>0</v>
      </c>
      <c r="EQ38" s="105">
        <f>EQ13*Цены!M110*(1-Предпосылки!$B$34)*1000</f>
        <v>0</v>
      </c>
      <c r="ER38" s="105">
        <f>ER13*Цены!B117*(1-Предпосылки!$B$34)*1000</f>
        <v>0</v>
      </c>
      <c r="ES38" s="105">
        <f>ES13*Цены!C117*(1-Предпосылки!$B$34)*1000</f>
        <v>0</v>
      </c>
      <c r="ET38" s="105">
        <f>ET13*Цены!D117*(1-Предпосылки!$B$34)*1000</f>
        <v>0</v>
      </c>
      <c r="EU38" s="105">
        <f>EU13*Цены!E117*(1-Предпосылки!$B$34)*1000</f>
        <v>0</v>
      </c>
      <c r="EV38" s="105">
        <f>EV13*Цены!F117*(1-Предпосылки!$B$34)*1000</f>
        <v>318884.84445965226</v>
      </c>
      <c r="EW38" s="105">
        <f>EW13*Цены!G117*(1-Предпосылки!$B$34)*1000</f>
        <v>256074.19327820567</v>
      </c>
      <c r="EX38" s="105">
        <f>EX13*Цены!H117*(1-Предпосылки!$B$34)*1000</f>
        <v>194874.07161423189</v>
      </c>
      <c r="EY38" s="105">
        <f>EY13*Цены!I117*(1-Предпосылки!$B$34)*1000</f>
        <v>169105.59933466409</v>
      </c>
      <c r="EZ38" s="105">
        <f>EZ13*Цены!J117*(1-Предпосылки!$B$34)*1000</f>
        <v>161052.95174729906</v>
      </c>
      <c r="FA38" s="105">
        <f>FA13*Цены!K117*(1-Предпосылки!$B$34)*1000</f>
        <v>156221.36319488013</v>
      </c>
      <c r="FB38" s="105">
        <f>FB13*Цены!L117*(1-Предпосылки!$B$34)*1000</f>
        <v>0</v>
      </c>
      <c r="FC38" s="105">
        <f>FC13*Цены!M117*(1-Предпосылки!$B$34)*1000</f>
        <v>0</v>
      </c>
      <c r="FD38" s="105">
        <f>FD13*Цены!B124*(1-Предпосылки!$B$34)*1000</f>
        <v>0</v>
      </c>
      <c r="FE38" s="105">
        <f>FE13*Цены!C124*(1-Предпосылки!$B$34)*1000</f>
        <v>0</v>
      </c>
      <c r="FF38" s="105">
        <f>FF13*Цены!D124*(1-Предпосылки!$B$34)*1000</f>
        <v>0</v>
      </c>
      <c r="FG38" s="105">
        <f>FG13*Цены!E124*(1-Предпосылки!$B$34)*1000</f>
        <v>0</v>
      </c>
      <c r="FH38" s="105">
        <f>FH13*Цены!F124*(1-Предпосылки!$B$34)*1000</f>
        <v>336423.51090493303</v>
      </c>
      <c r="FI38" s="105">
        <f>FI13*Цены!G124*(1-Предпосылки!$B$34)*1000</f>
        <v>270158.27390850696</v>
      </c>
      <c r="FJ38" s="105">
        <f>FJ13*Цены!H124*(1-Предпосылки!$B$34)*1000</f>
        <v>205592.14555301459</v>
      </c>
      <c r="FK38" s="105">
        <f>FK13*Цены!I124*(1-Предпосылки!$B$34)*1000</f>
        <v>178406.40729807061</v>
      </c>
      <c r="FL38" s="105">
        <f>FL13*Цены!J124*(1-Предпосылки!$B$34)*1000</f>
        <v>169910.86409340051</v>
      </c>
      <c r="FM38" s="105">
        <f>FM13*Цены!K124*(1-Предпосылки!$B$34)*1000</f>
        <v>164813.53817059853</v>
      </c>
      <c r="FN38" s="105">
        <f>FN13*Цены!L124*(1-Предпосылки!$B$34)*1000</f>
        <v>0</v>
      </c>
      <c r="FO38" s="105">
        <f>FO13*Цены!M124*(1-Предпосылки!$B$34)*1000</f>
        <v>0</v>
      </c>
    </row>
    <row r="39" spans="1:171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</row>
    <row r="40" spans="1:171">
      <c r="A40" s="87" t="s">
        <v>344</v>
      </c>
      <c r="B40" s="105">
        <f>B22*Цены!L23*(1+Предпосылки!$B$35)*1000</f>
        <v>0</v>
      </c>
      <c r="C40" s="105">
        <f>C22*Цены!M23*(1+Предпосылки!$B$35)*1000</f>
        <v>0</v>
      </c>
      <c r="D40" s="105">
        <f>D22*Цены!B23*(1+Предпосылки!$B$35)*1000</f>
        <v>0</v>
      </c>
      <c r="E40" s="105">
        <f>E22*Цены!C23*(1+Предпосылки!$B$35)*1000</f>
        <v>3726993.1762660895</v>
      </c>
      <c r="F40" s="105">
        <f>F22*Цены!D23*(1+Предпосылки!$B$35)*1000</f>
        <v>4180276.1301362887</v>
      </c>
      <c r="G40" s="105">
        <f>G22*Цены!E23*(1+Предпосылки!$B$35)*1000</f>
        <v>4532829.5387020009</v>
      </c>
      <c r="H40" s="105">
        <f>H22*Цены!F23*(1+Предпосылки!$B$35)*1000</f>
        <v>0</v>
      </c>
      <c r="I40" s="105">
        <f>I22*Цены!G23*(1+Предпосылки!$B$35)*1000</f>
        <v>0</v>
      </c>
      <c r="J40" s="105">
        <f>J22*Цены!H23*(1+Предпосылки!$B$35)*1000</f>
        <v>0</v>
      </c>
      <c r="K40" s="105">
        <f>K22*Цены!I23*(1+Предпосылки!$B$35)*1000</f>
        <v>0</v>
      </c>
      <c r="L40" s="105">
        <f>L22*Цены!J23*(1+Предпосылки!$B$35)*1000</f>
        <v>0</v>
      </c>
      <c r="M40" s="105">
        <f>M22*Цены!K23*(1+Предпосылки!$B$35)*1000</f>
        <v>0</v>
      </c>
      <c r="N40" s="105">
        <f>N22*Цены!L23*(1+Предпосылки!$B$35)*1000</f>
        <v>1951634.9402744723</v>
      </c>
      <c r="O40" s="105">
        <f>O22*Цены!M23*(1+Предпосылки!$B$35)*1000</f>
        <v>1976817.3266005949</v>
      </c>
      <c r="P40" s="105">
        <f>P22*Цены!B37*(1+Предпосылки!$B$35)*1000</f>
        <v>2052871.5965736015</v>
      </c>
      <c r="Q40" s="105">
        <f>Q22*Цены!C37*(1+Предпосылки!$B$35)*1000</f>
        <v>2124650.3237265246</v>
      </c>
      <c r="R40" s="105">
        <f>R22*Цены!D37*(1+Предпосылки!$B$35)*1000</f>
        <v>2383053.741477048</v>
      </c>
      <c r="S40" s="105">
        <f>S22*Цены!E37*(1+Предпосылки!$B$35)*1000</f>
        <v>2584034.1775052329</v>
      </c>
      <c r="T40" s="105">
        <f>T22*Цены!F37*(1+Предпосылки!$B$35)*1000</f>
        <v>0</v>
      </c>
      <c r="U40" s="105">
        <f>U22*Цены!G37*(1+Предпосылки!$B$35)*1000</f>
        <v>0</v>
      </c>
      <c r="V40" s="105">
        <f>V22*Цены!H37*(1+Предпосылки!$B$35)*1000</f>
        <v>0</v>
      </c>
      <c r="W40" s="105">
        <f>W22*Цены!I37*(1+Предпосылки!$B$35)*1000</f>
        <v>0</v>
      </c>
      <c r="X40" s="105">
        <f>X22*Цены!J37*(1+Предпосылки!$B$35)*1000</f>
        <v>0</v>
      </c>
      <c r="Y40" s="105">
        <f>Y22*Цены!K37*(1+Предпосылки!$B$35)*1000</f>
        <v>0</v>
      </c>
      <c r="Z40" s="105">
        <f>Z22*Цены!L37*(1+Предпосылки!$B$35)*1000</f>
        <v>2225140.5417406168</v>
      </c>
      <c r="AA40" s="105">
        <f>AA22*Цены!M37*(1+Предпосылки!$B$35)*1000</f>
        <v>2253852.0326017863</v>
      </c>
      <c r="AB40" s="105">
        <f>AB22*Цены!B44*(1+Предпосылки!$B$35)*1000</f>
        <v>2165779.5343851494</v>
      </c>
      <c r="AC40" s="105">
        <f>AC22*Цены!C44*(1+Предпосылки!$B$35)*1000</f>
        <v>2241506.091531483</v>
      </c>
      <c r="AD40" s="105">
        <f>AD22*Цены!D44*(1+Предпосылки!$B$35)*1000</f>
        <v>2514121.6972582848</v>
      </c>
      <c r="AE40" s="105">
        <f>AE22*Цены!E44*(1+Предпосылки!$B$35)*1000</f>
        <v>2726156.0572680207</v>
      </c>
      <c r="AF40" s="105">
        <f>AF22*Цены!F44*(1+Предпосылки!$B$35)*1000</f>
        <v>0</v>
      </c>
      <c r="AG40" s="105">
        <f>AG22*Цены!G44*(1+Предпосылки!$B$35)*1000</f>
        <v>0</v>
      </c>
      <c r="AH40" s="105">
        <f>AH22*Цены!H44*(1+Предпосылки!$B$35)*1000</f>
        <v>0</v>
      </c>
      <c r="AI40" s="105">
        <f>AI22*Цены!I44*(1+Предпосылки!$B$35)*1000</f>
        <v>0</v>
      </c>
      <c r="AJ40" s="105">
        <f>AJ22*Цены!J44*(1+Предпосылки!$B$35)*1000</f>
        <v>0</v>
      </c>
      <c r="AK40" s="105">
        <f>AK22*Цены!K44*(1+Предпосылки!$B$35)*1000</f>
        <v>0</v>
      </c>
      <c r="AL40" s="105">
        <f>AL22*Цены!L44*(1+Предпосылки!$B$35)*1000</f>
        <v>2347523.2715363503</v>
      </c>
      <c r="AM40" s="105">
        <f>AM22*Цены!M44*(1+Предпосылки!$B$35)*1000</f>
        <v>2377813.8943948848</v>
      </c>
      <c r="AN40" s="105">
        <f>AN22*Цены!B51*(1+Предпосылки!$B$35)*1000</f>
        <v>2284897.4087763326</v>
      </c>
      <c r="AO40" s="105">
        <f>AO22*Цены!C51*(1+Предпосылки!$B$35)*1000</f>
        <v>2364788.9265657146</v>
      </c>
      <c r="AP40" s="105">
        <f>AP22*Цены!D51*(1+Предпосылки!$B$35)*1000</f>
        <v>2652398.3906074911</v>
      </c>
      <c r="AQ40" s="105">
        <f>AQ22*Цены!E51*(1+Предпосылки!$B$35)*1000</f>
        <v>2876094.6404177612</v>
      </c>
      <c r="AR40" s="105">
        <f>AR22*Цены!F51*(1+Предпосылки!$B$35)*1000</f>
        <v>0</v>
      </c>
      <c r="AS40" s="105">
        <f>AS22*Цены!G51*(1+Предпосылки!$B$35)*1000</f>
        <v>0</v>
      </c>
      <c r="AT40" s="105">
        <f>AT22*Цены!H51*(1+Предпосылки!$B$35)*1000</f>
        <v>0</v>
      </c>
      <c r="AU40" s="105">
        <f>AU22*Цены!I51*(1+Предпосылки!$B$35)*1000</f>
        <v>0</v>
      </c>
      <c r="AV40" s="105">
        <f>AV22*Цены!J51*(1+Предпосылки!$B$35)*1000</f>
        <v>0</v>
      </c>
      <c r="AW40" s="105">
        <f>AW22*Цены!K51*(1+Предпосылки!$B$35)*1000</f>
        <v>0</v>
      </c>
      <c r="AX40" s="105">
        <f>AX22*Цены!L51*(1+Предпосылки!$B$35)*1000</f>
        <v>2476637.0514708492</v>
      </c>
      <c r="AY40" s="105">
        <f>AY22*Цены!M51*(1+Предпосылки!$B$35)*1000</f>
        <v>2508593.6585866036</v>
      </c>
      <c r="AZ40" s="105">
        <f>AZ22*Цены!B58*(1+Предпосылки!$B$35)*1000</f>
        <v>2410566.7662590309</v>
      </c>
      <c r="BA40" s="105">
        <f>BA22*Цены!C58*(1+Предпосылки!$B$35)*1000</f>
        <v>2494852.3175268285</v>
      </c>
      <c r="BB40" s="105">
        <f>BB22*Цены!D58*(1+Предпосылки!$B$35)*1000</f>
        <v>2798280.3020909023</v>
      </c>
      <c r="BC40" s="105">
        <f>BC22*Цены!E58*(1+Предпосылки!$B$35)*1000</f>
        <v>3034279.8456407376</v>
      </c>
      <c r="BD40" s="105">
        <f>BD22*Цены!F58*(1+Предпосылки!$B$35)*1000</f>
        <v>0</v>
      </c>
      <c r="BE40" s="105">
        <f>BE22*Цены!G58*(1+Предпосылки!$B$35)*1000</f>
        <v>0</v>
      </c>
      <c r="BF40" s="105">
        <f>BF22*Цены!H58*(1+Предпосылки!$B$35)*1000</f>
        <v>0</v>
      </c>
      <c r="BG40" s="105">
        <f>BG22*Цены!I58*(1+Предпосылки!$B$35)*1000</f>
        <v>0</v>
      </c>
      <c r="BH40" s="105">
        <f>BH22*Цены!J58*(1+Предпосылки!$B$35)*1000</f>
        <v>0</v>
      </c>
      <c r="BI40" s="105">
        <f>BI22*Цены!K58*(1+Предпосылки!$B$35)*1000</f>
        <v>0</v>
      </c>
      <c r="BJ40" s="105">
        <f>BJ22*Цены!L58*(1+Предпосылки!$B$35)*1000</f>
        <v>2612852.0893017459</v>
      </c>
      <c r="BK40" s="105">
        <f>BK22*Цены!M58*(1+Предпосылки!$B$35)*1000</f>
        <v>2646566.3098088661</v>
      </c>
      <c r="BL40" s="105">
        <f>BL22*Цены!B65*(1+Предпосылки!$B$35)*1000</f>
        <v>2543147.9384032772</v>
      </c>
      <c r="BM40" s="105">
        <f>BM22*Цены!C65*(1+Предпосылки!$B$35)*1000</f>
        <v>2632069.1949908044</v>
      </c>
      <c r="BN40" s="105">
        <f>BN22*Цены!D65*(1+Предпосылки!$B$35)*1000</f>
        <v>2952185.7187059023</v>
      </c>
      <c r="BO40" s="105">
        <f>BO22*Цены!E65*(1+Предпосылки!$B$35)*1000</f>
        <v>3201165.2371509783</v>
      </c>
      <c r="BP40" s="105">
        <f>BP22*Цены!F65*(1+Предпосылки!$B$35)*1000</f>
        <v>0</v>
      </c>
      <c r="BQ40" s="105">
        <f>BQ22*Цены!G65*(1+Предпосылки!$B$35)*1000</f>
        <v>0</v>
      </c>
      <c r="BR40" s="105">
        <f>BR22*Цены!H65*(1+Предпосылки!$B$35)*1000</f>
        <v>0</v>
      </c>
      <c r="BS40" s="105">
        <f>BS22*Цены!I65*(1+Предпосылки!$B$35)*1000</f>
        <v>0</v>
      </c>
      <c r="BT40" s="105">
        <f>BT22*Цены!J65*(1+Предпосылки!$B$35)*1000</f>
        <v>0</v>
      </c>
      <c r="BU40" s="105">
        <f>BU22*Цены!K65*(1+Предпосылки!$B$35)*1000</f>
        <v>0</v>
      </c>
      <c r="BV40" s="105">
        <f>BV22*Цены!L65*(1+Предпосылки!$B$35)*1000</f>
        <v>2756558.9542133422</v>
      </c>
      <c r="BW40" s="105">
        <f>BW22*Цены!M65*(1+Предпосылки!$B$35)*1000</f>
        <v>2792127.4568483541</v>
      </c>
      <c r="BX40" s="105">
        <f>BX22*Цены!B72*(1+Предпосылки!$B$35)*1000</f>
        <v>2683021.0750154569</v>
      </c>
      <c r="BY40" s="105">
        <f>BY22*Цены!C72*(1+Предпосылки!$B$35)*1000</f>
        <v>2776833.0007152981</v>
      </c>
      <c r="BZ40" s="105">
        <f>BZ22*Цены!D72*(1+Предпосылки!$B$35)*1000</f>
        <v>3114555.9332347261</v>
      </c>
      <c r="CA40" s="105">
        <f>CA22*Цены!E72*(1+Предпосылки!$B$35)*1000</f>
        <v>3377229.325194282</v>
      </c>
      <c r="CB40" s="105">
        <f>CB22*Цены!F72*(1+Предпосылки!$B$35)*1000</f>
        <v>0</v>
      </c>
      <c r="CC40" s="105">
        <f>CC22*Цены!G72*(1+Предпосылки!$B$35)*1000</f>
        <v>0</v>
      </c>
      <c r="CD40" s="105">
        <f>CD22*Цены!H72*(1+Предпосылки!$B$35)*1000</f>
        <v>0</v>
      </c>
      <c r="CE40" s="105">
        <f>CE22*Цены!I72*(1+Предпосылки!$B$35)*1000</f>
        <v>0</v>
      </c>
      <c r="CF40" s="105">
        <f>CF22*Цены!J72*(1+Предпосылки!$B$35)*1000</f>
        <v>0</v>
      </c>
      <c r="CG40" s="105">
        <f>CG22*Цены!K72*(1+Предпосылки!$B$35)*1000</f>
        <v>0</v>
      </c>
      <c r="CH40" s="105">
        <f>CH22*Цены!L72*(1+Предпосылки!$B$35)*1000</f>
        <v>2908169.6966950763</v>
      </c>
      <c r="CI40" s="105">
        <f>CI22*Цены!M72*(1+Предпосылки!$B$35)*1000</f>
        <v>2945694.4669750133</v>
      </c>
      <c r="CJ40" s="105">
        <f>CJ22*Цены!B79*(1+Предпосылки!$B$35)*1000</f>
        <v>2830587.234141307</v>
      </c>
      <c r="CK40" s="105">
        <f>CK22*Цены!C79*(1+Предпосылки!$B$35)*1000</f>
        <v>2929558.8157546395</v>
      </c>
      <c r="CL40" s="105">
        <f>CL22*Цены!D79*(1+Предпосылки!$B$35)*1000</f>
        <v>3285856.5095626358</v>
      </c>
      <c r="CM40" s="105">
        <f>CM22*Цены!E79*(1+Предпосылки!$B$35)*1000</f>
        <v>3562976.9380799672</v>
      </c>
      <c r="CN40" s="105">
        <f>CN22*Цены!F79*(1+Предпосылки!$B$35)*1000</f>
        <v>0</v>
      </c>
      <c r="CO40" s="105">
        <f>CO22*Цены!G79*(1+Предпосылки!$B$35)*1000</f>
        <v>0</v>
      </c>
      <c r="CP40" s="105">
        <f>CP22*Цены!H79*(1+Предпосылки!$B$35)*1000</f>
        <v>0</v>
      </c>
      <c r="CQ40" s="105">
        <f>CQ22*Цены!I79*(1+Предпосылки!$B$35)*1000</f>
        <v>0</v>
      </c>
      <c r="CR40" s="105">
        <f>CR22*Цены!J79*(1+Предпосылки!$B$35)*1000</f>
        <v>0</v>
      </c>
      <c r="CS40" s="105">
        <f>CS22*Цены!K79*(1+Предпосылки!$B$35)*1000</f>
        <v>0</v>
      </c>
      <c r="CT40" s="105">
        <f>CT22*Цены!L79*(1+Предпосылки!$B$35)*1000</f>
        <v>3068119.0300133047</v>
      </c>
      <c r="CU40" s="105">
        <f>CU22*Цены!M79*(1+Предпосылки!$B$35)*1000</f>
        <v>3107707.6626586393</v>
      </c>
      <c r="CV40" s="105">
        <f>CV22*Цены!B86*(1+Предпосылки!$B$35)*1000</f>
        <v>2986269.5320190787</v>
      </c>
      <c r="CW40" s="105">
        <f>CW22*Цены!C86*(1+Предпосылки!$B$35)*1000</f>
        <v>3090684.5506211449</v>
      </c>
      <c r="CX40" s="105">
        <f>CX22*Цены!D86*(1+Предпосылки!$B$35)*1000</f>
        <v>3466578.6175885811</v>
      </c>
      <c r="CY40" s="105">
        <f>CY22*Цены!E86*(1+Предпосылки!$B$35)*1000</f>
        <v>3758940.6696743653</v>
      </c>
      <c r="CZ40" s="105">
        <f>CZ22*Цены!F86*(1+Предпосылки!$B$35)*1000</f>
        <v>0</v>
      </c>
      <c r="DA40" s="105">
        <f>DA22*Цены!G86*(1+Предпосылки!$B$35)*1000</f>
        <v>0</v>
      </c>
      <c r="DB40" s="105">
        <f>DB22*Цены!H86*(1+Предпосылки!$B$35)*1000</f>
        <v>0</v>
      </c>
      <c r="DC40" s="105">
        <f>DC22*Цены!I86*(1+Предпосылки!$B$35)*1000</f>
        <v>0</v>
      </c>
      <c r="DD40" s="105">
        <f>DD22*Цены!J86*(1+Предпосылки!$B$35)*1000</f>
        <v>0</v>
      </c>
      <c r="DE40" s="105">
        <f>DE22*Цены!K86*(1+Предпосылки!$B$35)*1000</f>
        <v>0</v>
      </c>
      <c r="DF40" s="105">
        <f>DF22*Цены!L86*(1+Предпосылки!$B$35)*1000</f>
        <v>3236865.5766640366</v>
      </c>
      <c r="DG40" s="105">
        <f>DG22*Цены!M86*(1+Предпосылки!$B$35)*1000</f>
        <v>3278631.5841048635</v>
      </c>
      <c r="DH40" s="105">
        <f>DH22*Цены!B93*(1+Предпосылки!$B$35)*1000</f>
        <v>3150514.356280128</v>
      </c>
      <c r="DI40" s="105">
        <f>DI22*Цены!C93*(1+Предпосылки!$B$35)*1000</f>
        <v>3260672.2009053067</v>
      </c>
      <c r="DJ40" s="105">
        <f>DJ22*Цены!D93*(1+Предпосылки!$B$35)*1000</f>
        <v>3657240.4415559522</v>
      </c>
      <c r="DK40" s="105">
        <f>DK22*Цены!E93*(1+Предпосылки!$B$35)*1000</f>
        <v>3965682.406506455</v>
      </c>
      <c r="DL40" s="105">
        <f>DL22*Цены!F93*(1+Предпосылки!$B$35)*1000</f>
        <v>0</v>
      </c>
      <c r="DM40" s="105">
        <f>DM22*Цены!G93*(1+Предпосылки!$B$35)*1000</f>
        <v>0</v>
      </c>
      <c r="DN40" s="105">
        <f>DN22*Цены!H93*(1+Предпосылки!$B$35)*1000</f>
        <v>0</v>
      </c>
      <c r="DO40" s="105">
        <f>DO22*Цены!I93*(1+Предпосылки!$B$35)*1000</f>
        <v>0</v>
      </c>
      <c r="DP40" s="105">
        <f>DP22*Цены!J93*(1+Предпосылки!$B$35)*1000</f>
        <v>0</v>
      </c>
      <c r="DQ40" s="105">
        <f>DQ22*Цены!K93*(1+Предпосылки!$B$35)*1000</f>
        <v>0</v>
      </c>
      <c r="DR40" s="105">
        <f>DR22*Цены!L93*(1+Предпосылки!$B$35)*1000</f>
        <v>3414893.1833805586</v>
      </c>
      <c r="DS40" s="105">
        <f>DS22*Цены!M93*(1+Предпосылки!$B$35)*1000</f>
        <v>3458956.3212306313</v>
      </c>
      <c r="DT40" s="105">
        <f>DT22*Цены!B100*(1+Предпосылки!$B$35)*1000</f>
        <v>3323792.645875535</v>
      </c>
      <c r="DU40" s="105">
        <f>DU22*Цены!C100*(1+Предпосылки!$B$35)*1000</f>
        <v>3440009.1719550989</v>
      </c>
      <c r="DV40" s="105">
        <f>DV22*Цены!D100*(1+Предпосылки!$B$35)*1000</f>
        <v>3858388.6658415301</v>
      </c>
      <c r="DW40" s="105">
        <f>DW22*Цены!E100*(1+Предпосылки!$B$35)*1000</f>
        <v>4183794.9388643112</v>
      </c>
      <c r="DX40" s="105">
        <f>DX22*Цены!F100*(1+Предпосылки!$B$35)*1000</f>
        <v>0</v>
      </c>
      <c r="DY40" s="105">
        <f>DY22*Цены!G100*(1+Предпосылки!$B$35)*1000</f>
        <v>0</v>
      </c>
      <c r="DZ40" s="105">
        <f>DZ22*Цены!H100*(1+Предпосылки!$B$35)*1000</f>
        <v>0</v>
      </c>
      <c r="EA40" s="105">
        <f>EA22*Цены!I100*(1+Предпосылки!$B$35)*1000</f>
        <v>0</v>
      </c>
      <c r="EB40" s="105">
        <f>EB22*Цены!J100*(1+Предпосылки!$B$35)*1000</f>
        <v>0</v>
      </c>
      <c r="EC40" s="105">
        <f>EC22*Цены!K100*(1+Предпосылки!$B$35)*1000</f>
        <v>0</v>
      </c>
      <c r="ED40" s="105">
        <f>ED22*Цены!L100*(1+Предпосылки!$B$35)*1000</f>
        <v>3602712.3084664885</v>
      </c>
      <c r="EE40" s="105">
        <f>EE22*Цены!M100*(1+Предпосылки!$B$35)*1000</f>
        <v>3649198.9188983156</v>
      </c>
      <c r="EF40" s="105">
        <f>EF22*Цены!B107*(1+Предпосылки!$B$35)*1000</f>
        <v>3506601.2413986893</v>
      </c>
      <c r="EG40" s="105">
        <f>EG22*Цены!C107*(1+Предпосылки!$B$35)*1000</f>
        <v>3629209.6764126285</v>
      </c>
      <c r="EH40" s="105">
        <f>EH22*Цены!D107*(1+Предпосылки!$B$35)*1000</f>
        <v>4070600.0424628137</v>
      </c>
      <c r="EI40" s="105">
        <f>EI22*Цены!E107*(1+Предпосылки!$B$35)*1000</f>
        <v>4413903.660501847</v>
      </c>
      <c r="EJ40" s="105">
        <f>EJ22*Цены!F107*(1+Предпосылки!$B$35)*1000</f>
        <v>0</v>
      </c>
      <c r="EK40" s="105">
        <f>EK22*Цены!G107*(1+Предпосылки!$B$35)*1000</f>
        <v>0</v>
      </c>
      <c r="EL40" s="105">
        <f>EL22*Цены!H107*(1+Предпосылки!$B$35)*1000</f>
        <v>0</v>
      </c>
      <c r="EM40" s="105">
        <f>EM22*Цены!I107*(1+Предпосылки!$B$35)*1000</f>
        <v>0</v>
      </c>
      <c r="EN40" s="105">
        <f>EN22*Цены!J107*(1+Предпосылки!$B$35)*1000</f>
        <v>0</v>
      </c>
      <c r="EO40" s="105">
        <f>EO22*Цены!K107*(1+Предпосылки!$B$35)*1000</f>
        <v>0</v>
      </c>
      <c r="EP40" s="105">
        <f>EP22*Цены!L107*(1+Предпосылки!$B$35)*1000</f>
        <v>3800861.4854321452</v>
      </c>
      <c r="EQ40" s="105">
        <f>EQ22*Цены!M107*(1+Предпосылки!$B$35)*1000</f>
        <v>3849904.8594377232</v>
      </c>
      <c r="ER40" s="105">
        <f>ER22*Цены!B114*(1+Предпосылки!$B$35)*1000</f>
        <v>3699464.3096756171</v>
      </c>
      <c r="ES40" s="105">
        <f>ES22*Цены!C114*(1+Предпосылки!$B$35)*1000</f>
        <v>3828816.2086153235</v>
      </c>
      <c r="ET40" s="105">
        <f>ET22*Цены!D114*(1+Предпосылки!$B$35)*1000</f>
        <v>4294483.0447982689</v>
      </c>
      <c r="EU40" s="105">
        <f>EU22*Цены!E114*(1+Предпосылки!$B$35)*1000</f>
        <v>4656668.3618294485</v>
      </c>
      <c r="EV40" s="105">
        <f>EV22*Цены!F114*(1+Предпосылки!$B$35)*1000</f>
        <v>0</v>
      </c>
      <c r="EW40" s="105">
        <f>EW22*Цены!G114*(1+Предпосылки!$B$35)*1000</f>
        <v>0</v>
      </c>
      <c r="EX40" s="105">
        <f>EX22*Цены!H114*(1+Предпосылки!$B$35)*1000</f>
        <v>0</v>
      </c>
      <c r="EY40" s="105">
        <f>EY22*Цены!I114*(1+Предпосылки!$B$35)*1000</f>
        <v>0</v>
      </c>
      <c r="EZ40" s="105">
        <f>EZ22*Цены!J114*(1+Предпосылки!$B$35)*1000</f>
        <v>0</v>
      </c>
      <c r="FA40" s="105">
        <f>FA22*Цены!K114*(1+Предпосылки!$B$35)*1000</f>
        <v>0</v>
      </c>
      <c r="FB40" s="105">
        <f>FB22*Цены!L114*(1+Предпосылки!$B$35)*1000</f>
        <v>4009908.8671309133</v>
      </c>
      <c r="FC40" s="105">
        <f>FC22*Цены!M114*(1+Предпосылки!$B$35)*1000</f>
        <v>4061649.6267067976</v>
      </c>
      <c r="FD40" s="105">
        <f>FD22*Цены!B121*(1+Предпосылки!$B$35)*1000</f>
        <v>3902934.8467077757</v>
      </c>
      <c r="FE40" s="105">
        <f>FE22*Цены!C121*(1+Предпосылки!$B$35)*1000</f>
        <v>4039401.1000891658</v>
      </c>
      <c r="FF40" s="105">
        <f>FF22*Цены!D121*(1+Предпосылки!$B$35)*1000</f>
        <v>4530679.6122621726</v>
      </c>
      <c r="FG40" s="105">
        <f>FG22*Цены!E121*(1+Предпосылки!$B$35)*1000</f>
        <v>4912785.1217300678</v>
      </c>
      <c r="FH40" s="105">
        <f>FH22*Цены!F121*(1+Предпосылки!$B$35)*1000</f>
        <v>0</v>
      </c>
      <c r="FI40" s="105">
        <f>FI22*Цены!G121*(1+Предпосылки!$B$35)*1000</f>
        <v>0</v>
      </c>
      <c r="FJ40" s="105">
        <f>FJ22*Цены!H121*(1+Предпосылки!$B$35)*1000</f>
        <v>0</v>
      </c>
      <c r="FK40" s="105">
        <f>FK22*Цены!I121*(1+Предпосылки!$B$35)*1000</f>
        <v>0</v>
      </c>
      <c r="FL40" s="105">
        <f>FL22*Цены!J121*(1+Предпосылки!$B$35)*1000</f>
        <v>0</v>
      </c>
      <c r="FM40" s="105">
        <f>FM22*Цены!K121*(1+Предпосылки!$B$35)*1000</f>
        <v>0</v>
      </c>
      <c r="FN40" s="105">
        <f>FN22*Цены!L121*(1+Предпосылки!$B$35)*1000</f>
        <v>4230453.8548231144</v>
      </c>
      <c r="FO40" s="105">
        <f>FO22*Цены!M121*(1+Предпосылки!$B$35)*1000</f>
        <v>4285040.3561756713</v>
      </c>
    </row>
    <row r="41" spans="1:171">
      <c r="A41" s="87" t="s">
        <v>345</v>
      </c>
      <c r="B41" s="105">
        <f>B23*Цены!L24*(1+Предпосылки!$B$35)*1000</f>
        <v>0</v>
      </c>
      <c r="C41" s="105">
        <f>C23*Цены!M24*(1+Предпосылки!$B$35)*1000</f>
        <v>0</v>
      </c>
      <c r="D41" s="105">
        <f>D23*Цены!B24*(1+Предпосылки!$B$35)*1000</f>
        <v>0</v>
      </c>
      <c r="E41" s="105">
        <f>E23*Цены!C24*(1+Предпосылки!$B$35)*1000</f>
        <v>1000580.1500245897</v>
      </c>
      <c r="F41" s="105">
        <f>F23*Цены!D24*(1+Предпосылки!$B$35)*1000</f>
        <v>1108024.9983493779</v>
      </c>
      <c r="G41" s="105">
        <f>G23*Цены!E24*(1+Предпосылки!$B$35)*1000</f>
        <v>1249046.3617756621</v>
      </c>
      <c r="H41" s="105">
        <f>H23*Цены!F24*(1+Предпосылки!$B$35)*1000</f>
        <v>0</v>
      </c>
      <c r="I41" s="105">
        <f>I23*Цены!G24*(1+Предпосылки!$B$35)*1000</f>
        <v>0</v>
      </c>
      <c r="J41" s="105">
        <f>J23*Цены!H24*(1+Предпосылки!$B$35)*1000</f>
        <v>0</v>
      </c>
      <c r="K41" s="105">
        <f>K23*Цены!I24*(1+Предпосылки!$B$35)*1000</f>
        <v>0</v>
      </c>
      <c r="L41" s="105">
        <f>L23*Цены!J24*(1+Предпосылки!$B$35)*1000</f>
        <v>0</v>
      </c>
      <c r="M41" s="105">
        <f>M23*Цены!K24*(1+Предпосылки!$B$35)*1000</f>
        <v>0</v>
      </c>
      <c r="N41" s="105">
        <f>N23*Цены!L24*(1+Предпосылки!$B$35)*1000</f>
        <v>486859.46897169639</v>
      </c>
      <c r="O41" s="105">
        <f>O23*Цены!M24*(1+Предпосылки!$B$35)*1000</f>
        <v>500290.07501229498</v>
      </c>
      <c r="P41" s="105">
        <f>P23*Цены!B38*(1+Предпосылки!$B$35)*1000</f>
        <v>555088.82331593893</v>
      </c>
      <c r="Q41" s="105">
        <f>Q23*Цены!C38*(1+Предпосылки!$B$35)*1000</f>
        <v>570401.61844189593</v>
      </c>
      <c r="R41" s="105">
        <f>R23*Цены!D38*(1+Предпосылки!$B$35)*1000</f>
        <v>631652.79894572357</v>
      </c>
      <c r="S41" s="105">
        <f>S23*Цены!E38*(1+Предпосылки!$B$35)*1000</f>
        <v>712044.97335699736</v>
      </c>
      <c r="T41" s="105">
        <f>T23*Цены!F38*(1+Предпосылки!$B$35)*1000</f>
        <v>0</v>
      </c>
      <c r="U41" s="105">
        <f>U23*Цены!G38*(1+Предпосылки!$B$35)*1000</f>
        <v>0</v>
      </c>
      <c r="V41" s="105">
        <f>V23*Цены!H38*(1+Предпосылки!$B$35)*1000</f>
        <v>0</v>
      </c>
      <c r="W41" s="105">
        <f>W23*Цены!I38*(1+Предпосылки!$B$35)*1000</f>
        <v>0</v>
      </c>
      <c r="X41" s="105">
        <f>X23*Цены!J38*(1+Предпосылки!$B$35)*1000</f>
        <v>0</v>
      </c>
      <c r="Y41" s="105">
        <f>Y23*Цены!K38*(1+Предпосылки!$B$35)*1000</f>
        <v>0</v>
      </c>
      <c r="Z41" s="105">
        <f>Z23*Цены!L38*(1+Предпосылки!$B$35)*1000</f>
        <v>555088.82331593893</v>
      </c>
      <c r="AA41" s="105">
        <f>AA23*Цены!M38*(1+Предпосылки!$B$35)*1000</f>
        <v>570401.61844189593</v>
      </c>
      <c r="AB41" s="105">
        <f>AB23*Цены!B45*(1+Предпосылки!$B$35)*1000</f>
        <v>585618.70859831548</v>
      </c>
      <c r="AC41" s="105">
        <f>AC23*Цены!C45*(1+Предпосылки!$B$35)*1000</f>
        <v>601773.70745620015</v>
      </c>
      <c r="AD41" s="105">
        <f>AD23*Цены!D45*(1+Предпосылки!$B$35)*1000</f>
        <v>666393.70288773836</v>
      </c>
      <c r="AE41" s="105">
        <f>AE23*Цены!E45*(1+Предпосылки!$B$35)*1000</f>
        <v>751207.4468916324</v>
      </c>
      <c r="AF41" s="105">
        <f>AF23*Цены!F45*(1+Предпосылки!$B$35)*1000</f>
        <v>0</v>
      </c>
      <c r="AG41" s="105">
        <f>AG23*Цены!G45*(1+Предпосылки!$B$35)*1000</f>
        <v>0</v>
      </c>
      <c r="AH41" s="105">
        <f>AH23*Цены!H45*(1+Предпосылки!$B$35)*1000</f>
        <v>0</v>
      </c>
      <c r="AI41" s="105">
        <f>AI23*Цены!I45*(1+Предпосылки!$B$35)*1000</f>
        <v>0</v>
      </c>
      <c r="AJ41" s="105">
        <f>AJ23*Цены!J45*(1+Предпосылки!$B$35)*1000</f>
        <v>0</v>
      </c>
      <c r="AK41" s="105">
        <f>AK23*Цены!K45*(1+Предпосылки!$B$35)*1000</f>
        <v>0</v>
      </c>
      <c r="AL41" s="105">
        <f>AL23*Цены!L45*(1+Предпосылки!$B$35)*1000</f>
        <v>585618.70859831548</v>
      </c>
      <c r="AM41" s="105">
        <f>AM23*Цены!M45*(1+Предпосылки!$B$35)*1000</f>
        <v>601773.70745620015</v>
      </c>
      <c r="AN41" s="105">
        <f>AN23*Цены!B52*(1+Предпосылки!$B$35)*1000</f>
        <v>617827.73757122294</v>
      </c>
      <c r="AO41" s="105">
        <f>AO23*Цены!C52*(1+Предпосылки!$B$35)*1000</f>
        <v>634871.26136629109</v>
      </c>
      <c r="AP41" s="105">
        <f>AP23*Цены!D52*(1+Предпосылки!$B$35)*1000</f>
        <v>703045.35654656391</v>
      </c>
      <c r="AQ41" s="105">
        <f>AQ23*Цены!E52*(1+Предпосылки!$B$35)*1000</f>
        <v>792523.85647067206</v>
      </c>
      <c r="AR41" s="105">
        <f>AR23*Цены!F52*(1+Предпосылки!$B$35)*1000</f>
        <v>0</v>
      </c>
      <c r="AS41" s="105">
        <f>AS23*Цены!G52*(1+Предпосылки!$B$35)*1000</f>
        <v>0</v>
      </c>
      <c r="AT41" s="105">
        <f>AT23*Цены!H52*(1+Предпосылки!$B$35)*1000</f>
        <v>0</v>
      </c>
      <c r="AU41" s="105">
        <f>AU23*Цены!I52*(1+Предпосылки!$B$35)*1000</f>
        <v>0</v>
      </c>
      <c r="AV41" s="105">
        <f>AV23*Цены!J52*(1+Предпосылки!$B$35)*1000</f>
        <v>0</v>
      </c>
      <c r="AW41" s="105">
        <f>AW23*Цены!K52*(1+Предпосылки!$B$35)*1000</f>
        <v>0</v>
      </c>
      <c r="AX41" s="105">
        <f>AX23*Цены!L52*(1+Предпосылки!$B$35)*1000</f>
        <v>617827.73757122294</v>
      </c>
      <c r="AY41" s="105">
        <f>AY23*Цены!M52*(1+Предпосылки!$B$35)*1000</f>
        <v>634871.26136629109</v>
      </c>
      <c r="AZ41" s="105">
        <f>AZ23*Цены!B59*(1+Предпосылки!$B$35)*1000</f>
        <v>651808.26313764032</v>
      </c>
      <c r="BA41" s="105">
        <f>BA23*Цены!C59*(1+Предпосылки!$B$35)*1000</f>
        <v>669789.18074143701</v>
      </c>
      <c r="BB41" s="105">
        <f>BB23*Цены!D59*(1+Предпосылки!$B$35)*1000</f>
        <v>741712.85115662485</v>
      </c>
      <c r="BC41" s="105">
        <f>BC23*Цены!E59*(1+Предпосылки!$B$35)*1000</f>
        <v>836112.66857655905</v>
      </c>
      <c r="BD41" s="105">
        <f>BD23*Цены!F59*(1+Предпосылки!$B$35)*1000</f>
        <v>0</v>
      </c>
      <c r="BE41" s="105">
        <f>BE23*Цены!G59*(1+Предпосылки!$B$35)*1000</f>
        <v>0</v>
      </c>
      <c r="BF41" s="105">
        <f>BF23*Цены!H59*(1+Предпосылки!$B$35)*1000</f>
        <v>0</v>
      </c>
      <c r="BG41" s="105">
        <f>BG23*Цены!I59*(1+Предпосылки!$B$35)*1000</f>
        <v>0</v>
      </c>
      <c r="BH41" s="105">
        <f>BH23*Цены!J59*(1+Предпосылки!$B$35)*1000</f>
        <v>0</v>
      </c>
      <c r="BI41" s="105">
        <f>BI23*Цены!K59*(1+Предпосылки!$B$35)*1000</f>
        <v>0</v>
      </c>
      <c r="BJ41" s="105">
        <f>BJ23*Цены!L59*(1+Предпосылки!$B$35)*1000</f>
        <v>651808.26313764032</v>
      </c>
      <c r="BK41" s="105">
        <f>BK23*Цены!M59*(1+Предпосылки!$B$35)*1000</f>
        <v>669789.18074143701</v>
      </c>
      <c r="BL41" s="105">
        <f>BL23*Цены!B66*(1+Предпосылки!$B$35)*1000</f>
        <v>687657.71761021041</v>
      </c>
      <c r="BM41" s="105">
        <f>BM23*Цены!C66*(1+Предпосылки!$B$35)*1000</f>
        <v>706627.58568221598</v>
      </c>
      <c r="BN41" s="105">
        <f>BN23*Цены!D66*(1+Предпосылки!$B$35)*1000</f>
        <v>782507.05797023932</v>
      </c>
      <c r="BO41" s="105">
        <f>BO23*Цены!E66*(1+Предпосылки!$B$35)*1000</f>
        <v>882098.8653482697</v>
      </c>
      <c r="BP41" s="105">
        <f>BP23*Цены!F66*(1+Предпосылки!$B$35)*1000</f>
        <v>0</v>
      </c>
      <c r="BQ41" s="105">
        <f>BQ23*Цены!G66*(1+Предпосылки!$B$35)*1000</f>
        <v>0</v>
      </c>
      <c r="BR41" s="105">
        <f>BR23*Цены!H66*(1+Предпосылки!$B$35)*1000</f>
        <v>0</v>
      </c>
      <c r="BS41" s="105">
        <f>BS23*Цены!I66*(1+Предпосылки!$B$35)*1000</f>
        <v>0</v>
      </c>
      <c r="BT41" s="105">
        <f>BT23*Цены!J66*(1+Предпосылки!$B$35)*1000</f>
        <v>0</v>
      </c>
      <c r="BU41" s="105">
        <f>BU23*Цены!K66*(1+Предпосылки!$B$35)*1000</f>
        <v>0</v>
      </c>
      <c r="BV41" s="105">
        <f>BV23*Цены!L66*(1+Предпосылки!$B$35)*1000</f>
        <v>687657.71761021041</v>
      </c>
      <c r="BW41" s="105">
        <f>BW23*Цены!M66*(1+Предпосылки!$B$35)*1000</f>
        <v>706627.58568221598</v>
      </c>
      <c r="BX41" s="105">
        <f>BX23*Цены!B73*(1+Предпосылки!$B$35)*1000</f>
        <v>725478.89207877172</v>
      </c>
      <c r="BY41" s="105">
        <f>BY23*Цены!C73*(1+Предпосылки!$B$35)*1000</f>
        <v>745492.10289473785</v>
      </c>
      <c r="BZ41" s="105">
        <f>BZ23*Цены!D73*(1+Предпосылки!$B$35)*1000</f>
        <v>825544.94615860248</v>
      </c>
      <c r="CA41" s="105">
        <f>CA23*Цены!E73*(1+Предпосылки!$B$35)*1000</f>
        <v>930614.30294242455</v>
      </c>
      <c r="CB41" s="105">
        <f>CB23*Цены!F73*(1+Предпосылки!$B$35)*1000</f>
        <v>0</v>
      </c>
      <c r="CC41" s="105">
        <f>CC23*Цены!G73*(1+Предпосылки!$B$35)*1000</f>
        <v>0</v>
      </c>
      <c r="CD41" s="105">
        <f>CD23*Цены!H73*(1+Предпосылки!$B$35)*1000</f>
        <v>0</v>
      </c>
      <c r="CE41" s="105">
        <f>CE23*Цены!I73*(1+Предпосылки!$B$35)*1000</f>
        <v>0</v>
      </c>
      <c r="CF41" s="105">
        <f>CF23*Цены!J73*(1+Предпосылки!$B$35)*1000</f>
        <v>0</v>
      </c>
      <c r="CG41" s="105">
        <f>CG23*Цены!K73*(1+Предпосылки!$B$35)*1000</f>
        <v>0</v>
      </c>
      <c r="CH41" s="105">
        <f>CH23*Цены!L73*(1+Предпосылки!$B$35)*1000</f>
        <v>725478.89207877172</v>
      </c>
      <c r="CI41" s="105">
        <f>CI23*Цены!M73*(1+Предпосылки!$B$35)*1000</f>
        <v>745492.10289473785</v>
      </c>
      <c r="CJ41" s="105">
        <f>CJ23*Цены!B80*(1+Предпосылки!$B$35)*1000</f>
        <v>765380.23114310426</v>
      </c>
      <c r="CK41" s="105">
        <f>CK23*Цены!C80*(1+Предпосылки!$B$35)*1000</f>
        <v>786494.1685539484</v>
      </c>
      <c r="CL41" s="105">
        <f>CL23*Цены!D80*(1+Предпосылки!$B$35)*1000</f>
        <v>870949.91819732555</v>
      </c>
      <c r="CM41" s="105">
        <f>CM23*Цены!E80*(1+Предпосылки!$B$35)*1000</f>
        <v>981798.08960425784</v>
      </c>
      <c r="CN41" s="105">
        <f>CN23*Цены!F80*(1+Предпосылки!$B$35)*1000</f>
        <v>0</v>
      </c>
      <c r="CO41" s="105">
        <f>CO23*Цены!G80*(1+Предпосылки!$B$35)*1000</f>
        <v>0</v>
      </c>
      <c r="CP41" s="105">
        <f>CP23*Цены!H80*(1+Предпосылки!$B$35)*1000</f>
        <v>0</v>
      </c>
      <c r="CQ41" s="105">
        <f>CQ23*Цены!I80*(1+Предпосылки!$B$35)*1000</f>
        <v>0</v>
      </c>
      <c r="CR41" s="105">
        <f>CR23*Цены!J80*(1+Предпосылки!$B$35)*1000</f>
        <v>0</v>
      </c>
      <c r="CS41" s="105">
        <f>CS23*Цены!K80*(1+Предпосылки!$B$35)*1000</f>
        <v>0</v>
      </c>
      <c r="CT41" s="105">
        <f>CT23*Цены!L80*(1+Предпосылки!$B$35)*1000</f>
        <v>765380.23114310426</v>
      </c>
      <c r="CU41" s="105">
        <f>CU23*Цены!M80*(1+Предпосылки!$B$35)*1000</f>
        <v>786494.1685539484</v>
      </c>
      <c r="CV41" s="105">
        <f>CV23*Цены!B87*(1+Предпосылки!$B$35)*1000</f>
        <v>807476.14385597501</v>
      </c>
      <c r="CW41" s="105">
        <f>CW23*Цены!C87*(1+Предпосылки!$B$35)*1000</f>
        <v>829751.34782441542</v>
      </c>
      <c r="CX41" s="105">
        <f>CX23*Цены!D87*(1+Предпосылки!$B$35)*1000</f>
        <v>918852.16369817837</v>
      </c>
      <c r="CY41" s="105">
        <f>CY23*Цены!E87*(1+Предпосылки!$B$35)*1000</f>
        <v>1035796.9845324919</v>
      </c>
      <c r="CZ41" s="105">
        <f>CZ23*Цены!F87*(1+Предпосылки!$B$35)*1000</f>
        <v>0</v>
      </c>
      <c r="DA41" s="105">
        <f>DA23*Цены!G87*(1+Предпосылки!$B$35)*1000</f>
        <v>0</v>
      </c>
      <c r="DB41" s="105">
        <f>DB23*Цены!H87*(1+Предпосылки!$B$35)*1000</f>
        <v>0</v>
      </c>
      <c r="DC41" s="105">
        <f>DC23*Цены!I87*(1+Предпосылки!$B$35)*1000</f>
        <v>0</v>
      </c>
      <c r="DD41" s="105">
        <f>DD23*Цены!J87*(1+Предпосылки!$B$35)*1000</f>
        <v>0</v>
      </c>
      <c r="DE41" s="105">
        <f>DE23*Цены!K87*(1+Предпосылки!$B$35)*1000</f>
        <v>0</v>
      </c>
      <c r="DF41" s="105">
        <f>DF23*Цены!L87*(1+Предпосылки!$B$35)*1000</f>
        <v>807476.14385597501</v>
      </c>
      <c r="DG41" s="105">
        <f>DG23*Цены!M87*(1+Предпосылки!$B$35)*1000</f>
        <v>829751.34782441542</v>
      </c>
      <c r="DH41" s="105">
        <f>DH23*Цены!B94*(1+Предпосылки!$B$35)*1000</f>
        <v>851887.33176805358</v>
      </c>
      <c r="DI41" s="105">
        <f>DI23*Цены!C94*(1+Предпосылки!$B$35)*1000</f>
        <v>875387.67195475823</v>
      </c>
      <c r="DJ41" s="105">
        <f>DJ23*Цены!D94*(1+Предпосылки!$B$35)*1000</f>
        <v>969389.03270157811</v>
      </c>
      <c r="DK41" s="105">
        <f>DK23*Цены!E94*(1+Предпосылки!$B$35)*1000</f>
        <v>1092765.8186817789</v>
      </c>
      <c r="DL41" s="105">
        <f>DL23*Цены!F94*(1+Предпосылки!$B$35)*1000</f>
        <v>0</v>
      </c>
      <c r="DM41" s="105">
        <f>DM23*Цены!G94*(1+Предпосылки!$B$35)*1000</f>
        <v>0</v>
      </c>
      <c r="DN41" s="105">
        <f>DN23*Цены!H94*(1+Предпосылки!$B$35)*1000</f>
        <v>0</v>
      </c>
      <c r="DO41" s="105">
        <f>DO23*Цены!I94*(1+Предпосылки!$B$35)*1000</f>
        <v>0</v>
      </c>
      <c r="DP41" s="105">
        <f>DP23*Цены!J94*(1+Предпосылки!$B$35)*1000</f>
        <v>0</v>
      </c>
      <c r="DQ41" s="105">
        <f>DQ23*Цены!K94*(1+Предпосылки!$B$35)*1000</f>
        <v>0</v>
      </c>
      <c r="DR41" s="105">
        <f>DR23*Цены!L94*(1+Предпосылки!$B$35)*1000</f>
        <v>851887.33176805358</v>
      </c>
      <c r="DS41" s="105">
        <f>DS23*Цены!M94*(1+Предпосылки!$B$35)*1000</f>
        <v>875387.67195475823</v>
      </c>
      <c r="DT41" s="105">
        <f>DT23*Цены!B101*(1+Предпосылки!$B$35)*1000</f>
        <v>898741.13501529652</v>
      </c>
      <c r="DU41" s="105">
        <f>DU23*Цены!C101*(1+Предпосылки!$B$35)*1000</f>
        <v>923533.99391226994</v>
      </c>
      <c r="DV41" s="105">
        <f>DV23*Цены!D101*(1+Предпосылки!$B$35)*1000</f>
        <v>1022705.4295001649</v>
      </c>
      <c r="DW41" s="105">
        <f>DW23*Цены!E101*(1+Предпосылки!$B$35)*1000</f>
        <v>1152867.9387092767</v>
      </c>
      <c r="DX41" s="105">
        <f>DX23*Цены!F101*(1+Предпосылки!$B$35)*1000</f>
        <v>0</v>
      </c>
      <c r="DY41" s="105">
        <f>DY23*Цены!G101*(1+Предпосылки!$B$35)*1000</f>
        <v>0</v>
      </c>
      <c r="DZ41" s="105">
        <f>DZ23*Цены!H101*(1+Предпосылки!$B$35)*1000</f>
        <v>0</v>
      </c>
      <c r="EA41" s="105">
        <f>EA23*Цены!I101*(1+Предпосылки!$B$35)*1000</f>
        <v>0</v>
      </c>
      <c r="EB41" s="105">
        <f>EB23*Цены!J101*(1+Предпосылки!$B$35)*1000</f>
        <v>0</v>
      </c>
      <c r="EC41" s="105">
        <f>EC23*Цены!K101*(1+Предпосылки!$B$35)*1000</f>
        <v>0</v>
      </c>
      <c r="ED41" s="105">
        <f>ED23*Цены!L101*(1+Предпосылки!$B$35)*1000</f>
        <v>898741.13501529652</v>
      </c>
      <c r="EE41" s="105">
        <f>EE23*Цены!M101*(1+Предпосылки!$B$35)*1000</f>
        <v>923533.99391226994</v>
      </c>
      <c r="EF41" s="105">
        <f>EF23*Цены!B108*(1+Предпосылки!$B$35)*1000</f>
        <v>948171.8974411377</v>
      </c>
      <c r="EG41" s="105">
        <f>EG23*Цены!C108*(1+Предпосылки!$B$35)*1000</f>
        <v>974328.3635774448</v>
      </c>
      <c r="EH41" s="105">
        <f>EH23*Цены!D108*(1+Предпосылки!$B$35)*1000</f>
        <v>1078954.2281226739</v>
      </c>
      <c r="EI41" s="105">
        <f>EI23*Цены!E108*(1+Предпосылки!$B$35)*1000</f>
        <v>1216275.6753382869</v>
      </c>
      <c r="EJ41" s="105">
        <f>EJ23*Цены!F108*(1+Предпосылки!$B$35)*1000</f>
        <v>0</v>
      </c>
      <c r="EK41" s="105">
        <f>EK23*Цены!G108*(1+Предпосылки!$B$35)*1000</f>
        <v>0</v>
      </c>
      <c r="EL41" s="105">
        <f>EL23*Цены!H108*(1+Предпосылки!$B$35)*1000</f>
        <v>0</v>
      </c>
      <c r="EM41" s="105">
        <f>EM23*Цены!I108*(1+Предпосылки!$B$35)*1000</f>
        <v>0</v>
      </c>
      <c r="EN41" s="105">
        <f>EN23*Цены!J108*(1+Предпосылки!$B$35)*1000</f>
        <v>0</v>
      </c>
      <c r="EO41" s="105">
        <f>EO23*Цены!K108*(1+Предпосылки!$B$35)*1000</f>
        <v>0</v>
      </c>
      <c r="EP41" s="105">
        <f>EP23*Цены!L108*(1+Предпосылки!$B$35)*1000</f>
        <v>948171.8974411377</v>
      </c>
      <c r="EQ41" s="105">
        <f>EQ23*Цены!M108*(1+Предпосылки!$B$35)*1000</f>
        <v>974328.3635774448</v>
      </c>
      <c r="ER41" s="105">
        <f>ER23*Цены!B115*(1+Предпосылки!$B$35)*1000</f>
        <v>1000321.3518004003</v>
      </c>
      <c r="ES41" s="105">
        <f>ES23*Цены!C115*(1+Предпосылки!$B$35)*1000</f>
        <v>1027916.4235742041</v>
      </c>
      <c r="ET41" s="105">
        <f>ET23*Цены!D115*(1+Предпосылки!$B$35)*1000</f>
        <v>1138296.7106694207</v>
      </c>
      <c r="EU41" s="105">
        <f>EU23*Цены!E115*(1+Предпосылки!$B$35)*1000</f>
        <v>1283170.8374818924</v>
      </c>
      <c r="EV41" s="105">
        <f>EV23*Цены!F115*(1+Предпосылки!$B$35)*1000</f>
        <v>0</v>
      </c>
      <c r="EW41" s="105">
        <f>EW23*Цены!G115*(1+Предпосылки!$B$35)*1000</f>
        <v>0</v>
      </c>
      <c r="EX41" s="105">
        <f>EX23*Цены!H115*(1+Предпосылки!$B$35)*1000</f>
        <v>0</v>
      </c>
      <c r="EY41" s="105">
        <f>EY23*Цены!I115*(1+Предпосылки!$B$35)*1000</f>
        <v>0</v>
      </c>
      <c r="EZ41" s="105">
        <f>EZ23*Цены!J115*(1+Предпосылки!$B$35)*1000</f>
        <v>0</v>
      </c>
      <c r="FA41" s="105">
        <f>FA23*Цены!K115*(1+Предпосылки!$B$35)*1000</f>
        <v>0</v>
      </c>
      <c r="FB41" s="105">
        <f>FB23*Цены!L115*(1+Предпосылки!$B$35)*1000</f>
        <v>1000321.3518004003</v>
      </c>
      <c r="FC41" s="105">
        <f>FC23*Цены!M115*(1+Предпосылки!$B$35)*1000</f>
        <v>1027916.4235742041</v>
      </c>
      <c r="FD41" s="105">
        <f>FD23*Цены!B122*(1+Предпосылки!$B$35)*1000</f>
        <v>1055339.0261494224</v>
      </c>
      <c r="FE41" s="105">
        <f>FE23*Цены!C122*(1+Предпосылки!$B$35)*1000</f>
        <v>1084451.8268707856</v>
      </c>
      <c r="FF41" s="105">
        <f>FF23*Цены!D122*(1+Предпосылки!$B$35)*1000</f>
        <v>1200903.0297562389</v>
      </c>
      <c r="FG41" s="105">
        <f>FG23*Цены!E122*(1+Предпосылки!$B$35)*1000</f>
        <v>1353745.2335433965</v>
      </c>
      <c r="FH41" s="105">
        <f>FH23*Цены!F122*(1+Предпосылки!$B$35)*1000</f>
        <v>0</v>
      </c>
      <c r="FI41" s="105">
        <f>FI23*Цены!G122*(1+Предпосылки!$B$35)*1000</f>
        <v>0</v>
      </c>
      <c r="FJ41" s="105">
        <f>FJ23*Цены!H122*(1+Предпосылки!$B$35)*1000</f>
        <v>0</v>
      </c>
      <c r="FK41" s="105">
        <f>FK23*Цены!I122*(1+Предпосылки!$B$35)*1000</f>
        <v>0</v>
      </c>
      <c r="FL41" s="105">
        <f>FL23*Цены!J122*(1+Предпосылки!$B$35)*1000</f>
        <v>0</v>
      </c>
      <c r="FM41" s="105">
        <f>FM23*Цены!K122*(1+Предпосылки!$B$35)*1000</f>
        <v>0</v>
      </c>
      <c r="FN41" s="105">
        <f>FN23*Цены!L122*(1+Предпосылки!$B$35)*1000</f>
        <v>1055339.0261494224</v>
      </c>
      <c r="FO41" s="105">
        <f>FO23*Цены!M122*(1+Предпосылки!$B$35)*1000</f>
        <v>1084451.8268707856</v>
      </c>
    </row>
    <row r="42" spans="1:171">
      <c r="A42" s="87" t="s">
        <v>346</v>
      </c>
      <c r="B42" s="105">
        <f>B24*Цены!L25*(1+Предпосылки!$B$35)*1000</f>
        <v>0</v>
      </c>
      <c r="C42" s="105">
        <f>C24*Цены!M25*(1+Предпосылки!$B$35)*1000</f>
        <v>0</v>
      </c>
      <c r="D42" s="105">
        <f>D24*Цены!B25*(1+Предпосылки!$B$35)*1000</f>
        <v>0</v>
      </c>
      <c r="E42" s="105">
        <f>E24*Цены!C25*(1+Предпосылки!$B$35)*1000</f>
        <v>604377.27182693349</v>
      </c>
      <c r="F42" s="105">
        <f>F24*Цены!D25*(1+Предпосылки!$B$35)*1000</f>
        <v>711822.12015172152</v>
      </c>
      <c r="G42" s="105">
        <f>G24*Цены!E25*(1+Предпосылки!$B$35)*1000</f>
        <v>919996.51378099853</v>
      </c>
      <c r="H42" s="105">
        <f>H24*Цены!F25*(1+Предпосылки!$B$35)*1000</f>
        <v>0</v>
      </c>
      <c r="I42" s="105">
        <f>I24*Цены!G25*(1+Предпосылки!$B$35)*1000</f>
        <v>0</v>
      </c>
      <c r="J42" s="105">
        <f>J24*Цены!H25*(1+Предпосылки!$B$35)*1000</f>
        <v>0</v>
      </c>
      <c r="K42" s="105">
        <f>K24*Цены!I25*(1+Предпосылки!$B$35)*1000</f>
        <v>0</v>
      </c>
      <c r="L42" s="105">
        <f>L24*Цены!J25*(1+Предпосылки!$B$35)*1000</f>
        <v>0</v>
      </c>
      <c r="M42" s="105">
        <f>M24*Цены!K25*(1+Предпосылки!$B$35)*1000</f>
        <v>0</v>
      </c>
      <c r="N42" s="105">
        <f>N24*Цены!L25*(1+Предпосылки!$B$35)*1000</f>
        <v>389487.57517735712</v>
      </c>
      <c r="O42" s="105">
        <f>O24*Цены!M25*(1+Предпосылки!$B$35)*1000</f>
        <v>480144.16595139721</v>
      </c>
      <c r="P42" s="105">
        <f>P24*Цены!B39*(1+Предпосылки!$B$35)*1000</f>
        <v>340709.69155254174</v>
      </c>
      <c r="Q42" s="105">
        <f>Q24*Цены!C39*(1+Предпосылки!$B$35)*1000</f>
        <v>344537.89033403108</v>
      </c>
      <c r="R42" s="105">
        <f>R24*Цены!D39*(1+Предпосылки!$B$35)*1000</f>
        <v>405789.07083785877</v>
      </c>
      <c r="S42" s="105">
        <f>S24*Цены!E39*(1+Предпосылки!$B$35)*1000</f>
        <v>524463.23306402494</v>
      </c>
      <c r="T42" s="105">
        <f>T24*Цены!F39*(1+Предпосылки!$B$35)*1000</f>
        <v>0</v>
      </c>
      <c r="U42" s="105">
        <f>U24*Цены!G39*(1+Предпосылки!$B$35)*1000</f>
        <v>0</v>
      </c>
      <c r="V42" s="105">
        <f>V24*Цены!H39*(1+Предпосылки!$B$35)*1000</f>
        <v>0</v>
      </c>
      <c r="W42" s="105">
        <f>W24*Цены!I39*(1+Предпосылки!$B$35)*1000</f>
        <v>0</v>
      </c>
      <c r="X42" s="105">
        <f>X24*Цены!J39*(1+Предпосылки!$B$35)*1000</f>
        <v>0</v>
      </c>
      <c r="Y42" s="105">
        <f>Y24*Цены!K39*(1+Предпосылки!$B$35)*1000</f>
        <v>0</v>
      </c>
      <c r="Z42" s="105">
        <f>Z24*Цены!L39*(1+Предпосылки!$B$35)*1000</f>
        <v>444071.05865275115</v>
      </c>
      <c r="AA42" s="105">
        <f>AA24*Цены!M39*(1+Предпосылки!$B$35)*1000</f>
        <v>547432.42575296049</v>
      </c>
      <c r="AB42" s="105">
        <f>AB24*Цены!B46*(1+Предпосылки!$B$35)*1000</f>
        <v>359448.72458793153</v>
      </c>
      <c r="AC42" s="105">
        <f>AC24*Цены!C46*(1+Предпосылки!$B$35)*1000</f>
        <v>363487.47430240276</v>
      </c>
      <c r="AD42" s="105">
        <f>AD24*Цены!D46*(1+Предпосылки!$B$35)*1000</f>
        <v>428107.46973394102</v>
      </c>
      <c r="AE42" s="105">
        <f>AE24*Цены!E46*(1+Предпосылки!$B$35)*1000</f>
        <v>553308.71088254638</v>
      </c>
      <c r="AF42" s="105">
        <f>AF24*Цены!F46*(1+Предпосылки!$B$35)*1000</f>
        <v>0</v>
      </c>
      <c r="AG42" s="105">
        <f>AG24*Цены!G46*(1+Предпосылки!$B$35)*1000</f>
        <v>0</v>
      </c>
      <c r="AH42" s="105">
        <f>AH24*Цены!H46*(1+Предпосылки!$B$35)*1000</f>
        <v>0</v>
      </c>
      <c r="AI42" s="105">
        <f>AI24*Цены!I46*(1+Предпосылки!$B$35)*1000</f>
        <v>0</v>
      </c>
      <c r="AJ42" s="105">
        <f>AJ24*Цены!J46*(1+Предпосылки!$B$35)*1000</f>
        <v>0</v>
      </c>
      <c r="AK42" s="105">
        <f>AK24*Цены!K46*(1+Предпосылки!$B$35)*1000</f>
        <v>0</v>
      </c>
      <c r="AL42" s="105">
        <f>AL24*Цены!L46*(1+Предпосылки!$B$35)*1000</f>
        <v>468494.9668786524</v>
      </c>
      <c r="AM42" s="105">
        <f>AM24*Цены!M46*(1+Предпосылки!$B$35)*1000</f>
        <v>577541.20916937327</v>
      </c>
      <c r="AN42" s="105">
        <f>AN24*Цены!B53*(1+Предпосылки!$B$35)*1000</f>
        <v>379218.40444026771</v>
      </c>
      <c r="AO42" s="105">
        <f>AO24*Цены!C53*(1+Предпосылки!$B$35)*1000</f>
        <v>383479.28538903489</v>
      </c>
      <c r="AP42" s="105">
        <f>AP24*Цены!D53*(1+Предпосылки!$B$35)*1000</f>
        <v>451653.38056930772</v>
      </c>
      <c r="AQ42" s="105">
        <f>AQ24*Цены!E53*(1+Предпосылки!$B$35)*1000</f>
        <v>583740.6899810863</v>
      </c>
      <c r="AR42" s="105">
        <f>AR24*Цены!F53*(1+Предпосылки!$B$35)*1000</f>
        <v>0</v>
      </c>
      <c r="AS42" s="105">
        <f>AS24*Цены!G53*(1+Предпосылки!$B$35)*1000</f>
        <v>0</v>
      </c>
      <c r="AT42" s="105">
        <f>AT24*Цены!H53*(1+Предпосылки!$B$35)*1000</f>
        <v>0</v>
      </c>
      <c r="AU42" s="105">
        <f>AU24*Цены!I53*(1+Предпосылки!$B$35)*1000</f>
        <v>0</v>
      </c>
      <c r="AV42" s="105">
        <f>AV24*Цены!J53*(1+Предпосылки!$B$35)*1000</f>
        <v>0</v>
      </c>
      <c r="AW42" s="105">
        <f>AW24*Цены!K53*(1+Предпосылки!$B$35)*1000</f>
        <v>0</v>
      </c>
      <c r="AX42" s="105">
        <f>AX24*Цены!L53*(1+Предпосылки!$B$35)*1000</f>
        <v>494262.1900569782</v>
      </c>
      <c r="AY42" s="105">
        <f>AY24*Цены!M53*(1+Предпосылки!$B$35)*1000</f>
        <v>609305.97567368869</v>
      </c>
      <c r="AZ42" s="105">
        <f>AZ24*Цены!B60*(1+Предпосылки!$B$35)*1000</f>
        <v>400075.41668448236</v>
      </c>
      <c r="BA42" s="105">
        <f>BA24*Цены!C60*(1+Предпосылки!$B$35)*1000</f>
        <v>404570.6460854318</v>
      </c>
      <c r="BB42" s="105">
        <f>BB24*Цены!D60*(1+Предпосылки!$B$35)*1000</f>
        <v>476494.31650061964</v>
      </c>
      <c r="BC42" s="105">
        <f>BC24*Цены!E60*(1+Предпосылки!$B$35)*1000</f>
        <v>615846.42793004611</v>
      </c>
      <c r="BD42" s="105">
        <f>BD24*Цены!F60*(1+Предпосылки!$B$35)*1000</f>
        <v>0</v>
      </c>
      <c r="BE42" s="105">
        <f>BE24*Цены!G60*(1+Предпосылки!$B$35)*1000</f>
        <v>0</v>
      </c>
      <c r="BF42" s="105">
        <f>BF24*Цены!H60*(1+Предпосылки!$B$35)*1000</f>
        <v>0</v>
      </c>
      <c r="BG42" s="105">
        <f>BG24*Цены!I60*(1+Предпосылки!$B$35)*1000</f>
        <v>0</v>
      </c>
      <c r="BH42" s="105">
        <f>BH24*Цены!J60*(1+Предпосылки!$B$35)*1000</f>
        <v>0</v>
      </c>
      <c r="BI42" s="105">
        <f>BI24*Цены!K60*(1+Предпосылки!$B$35)*1000</f>
        <v>0</v>
      </c>
      <c r="BJ42" s="105">
        <f>BJ24*Цены!L60*(1+Предпосылки!$B$35)*1000</f>
        <v>521446.61051011202</v>
      </c>
      <c r="BK42" s="105">
        <f>BK24*Цены!M60*(1+Предпосылки!$B$35)*1000</f>
        <v>642817.80433574168</v>
      </c>
      <c r="BL42" s="105">
        <f>BL24*Цены!B67*(1+Предпосылки!$B$35)*1000</f>
        <v>422079.56460212893</v>
      </c>
      <c r="BM42" s="105">
        <f>BM24*Цены!C67*(1+Предпосылки!$B$35)*1000</f>
        <v>426822.03162013052</v>
      </c>
      <c r="BN42" s="105">
        <f>BN24*Цены!D67*(1+Предпосылки!$B$35)*1000</f>
        <v>502701.50390815368</v>
      </c>
      <c r="BO42" s="105">
        <f>BO24*Цены!E67*(1+Предпосылки!$B$35)*1000</f>
        <v>649717.98146619857</v>
      </c>
      <c r="BP42" s="105">
        <f>BP24*Цены!F67*(1+Предпосылки!$B$35)*1000</f>
        <v>0</v>
      </c>
      <c r="BQ42" s="105">
        <f>BQ24*Цены!G67*(1+Предпосылки!$B$35)*1000</f>
        <v>0</v>
      </c>
      <c r="BR42" s="105">
        <f>BR24*Цены!H67*(1+Предпосылки!$B$35)*1000</f>
        <v>0</v>
      </c>
      <c r="BS42" s="105">
        <f>BS24*Цены!I67*(1+Предпосылки!$B$35)*1000</f>
        <v>0</v>
      </c>
      <c r="BT42" s="105">
        <f>BT24*Цены!J67*(1+Предпосылки!$B$35)*1000</f>
        <v>0</v>
      </c>
      <c r="BU42" s="105">
        <f>BU24*Цены!K67*(1+Предпосылки!$B$35)*1000</f>
        <v>0</v>
      </c>
      <c r="BV42" s="105">
        <f>BV24*Цены!L67*(1+Предпосылки!$B$35)*1000</f>
        <v>550126.17408816807</v>
      </c>
      <c r="BW42" s="105">
        <f>BW24*Цены!M67*(1+Предпосылки!$B$35)*1000</f>
        <v>678172.78357420745</v>
      </c>
      <c r="BX42" s="105">
        <f>BX24*Цены!B74*(1+Предпосылки!$B$35)*1000</f>
        <v>445293.94065524591</v>
      </c>
      <c r="BY42" s="105">
        <f>BY24*Цены!C74*(1+Предпосылки!$B$35)*1000</f>
        <v>450297.24335923768</v>
      </c>
      <c r="BZ42" s="105">
        <f>BZ24*Цены!D74*(1+Предпосылки!$B$35)*1000</f>
        <v>530350.08662310208</v>
      </c>
      <c r="CA42" s="105">
        <f>CA24*Цены!E74*(1+Предпосылки!$B$35)*1000</f>
        <v>685452.47044683935</v>
      </c>
      <c r="CB42" s="105">
        <f>CB24*Цены!F74*(1+Предпосылки!$B$35)*1000</f>
        <v>0</v>
      </c>
      <c r="CC42" s="105">
        <f>CC24*Цены!G74*(1+Предпосылки!$B$35)*1000</f>
        <v>0</v>
      </c>
      <c r="CD42" s="105">
        <f>CD24*Цены!H74*(1+Предпосылки!$B$35)*1000</f>
        <v>0</v>
      </c>
      <c r="CE42" s="105">
        <f>CE24*Цены!I74*(1+Предпосылки!$B$35)*1000</f>
        <v>0</v>
      </c>
      <c r="CF42" s="105">
        <f>CF24*Цены!J74*(1+Предпосылки!$B$35)*1000</f>
        <v>0</v>
      </c>
      <c r="CG42" s="105">
        <f>CG24*Цены!K74*(1+Предпосылки!$B$35)*1000</f>
        <v>0</v>
      </c>
      <c r="CH42" s="105">
        <f>CH24*Цены!L74*(1+Предпосылки!$B$35)*1000</f>
        <v>580383.11366301728</v>
      </c>
      <c r="CI42" s="105">
        <f>CI24*Цены!M74*(1+Предпосылки!$B$35)*1000</f>
        <v>715472.28667078866</v>
      </c>
      <c r="CJ42" s="105">
        <f>CJ24*Цены!B81*(1+Предпосылки!$B$35)*1000</f>
        <v>469785.10739128437</v>
      </c>
      <c r="CK42" s="105">
        <f>CK24*Цены!C81*(1+Предпосылки!$B$35)*1000</f>
        <v>475063.59174399567</v>
      </c>
      <c r="CL42" s="105">
        <f>CL24*Цены!D81*(1+Предпосылки!$B$35)*1000</f>
        <v>559519.3413873727</v>
      </c>
      <c r="CM42" s="105">
        <f>CM24*Цены!E81*(1+Предпосылки!$B$35)*1000</f>
        <v>723152.35632141551</v>
      </c>
      <c r="CN42" s="105">
        <f>CN24*Цены!F81*(1+Предпосылки!$B$35)*1000</f>
        <v>0</v>
      </c>
      <c r="CO42" s="105">
        <f>CO24*Цены!G81*(1+Предпосылки!$B$35)*1000</f>
        <v>0</v>
      </c>
      <c r="CP42" s="105">
        <f>CP24*Цены!H81*(1+Предпосылки!$B$35)*1000</f>
        <v>0</v>
      </c>
      <c r="CQ42" s="105">
        <f>CQ24*Цены!I81*(1+Предпосылки!$B$35)*1000</f>
        <v>0</v>
      </c>
      <c r="CR42" s="105">
        <f>CR24*Цены!J81*(1+Предпосылки!$B$35)*1000</f>
        <v>0</v>
      </c>
      <c r="CS42" s="105">
        <f>CS24*Цены!K81*(1+Предпосылки!$B$35)*1000</f>
        <v>0</v>
      </c>
      <c r="CT42" s="105">
        <f>CT24*Цены!L81*(1+Предпосылки!$B$35)*1000</f>
        <v>612304.18491448322</v>
      </c>
      <c r="CU42" s="105">
        <f>CU24*Цены!M81*(1+Предпосылки!$B$35)*1000</f>
        <v>754823.2624376819</v>
      </c>
      <c r="CV42" s="105">
        <f>CV24*Цены!B88*(1+Предпосылки!$B$35)*1000</f>
        <v>495623.28829780506</v>
      </c>
      <c r="CW42" s="105">
        <f>CW24*Цены!C88*(1+Предпосылки!$B$35)*1000</f>
        <v>501192.08928991552</v>
      </c>
      <c r="CX42" s="105">
        <f>CX24*Цены!D88*(1+Предпосылки!$B$35)*1000</f>
        <v>590292.90516367811</v>
      </c>
      <c r="CY42" s="105">
        <f>CY24*Цены!E88*(1+Предпосылки!$B$35)*1000</f>
        <v>762925.73591909348</v>
      </c>
      <c r="CZ42" s="105">
        <f>CZ24*Цены!F88*(1+Предпосылки!$B$35)*1000</f>
        <v>0</v>
      </c>
      <c r="DA42" s="105">
        <f>DA24*Цены!G88*(1+Предпосылки!$B$35)*1000</f>
        <v>0</v>
      </c>
      <c r="DB42" s="105">
        <f>DB24*Цены!H88*(1+Предпосылки!$B$35)*1000</f>
        <v>0</v>
      </c>
      <c r="DC42" s="105">
        <f>DC24*Цены!I88*(1+Предпосылки!$B$35)*1000</f>
        <v>0</v>
      </c>
      <c r="DD42" s="105">
        <f>DD24*Цены!J88*(1+Предпосылки!$B$35)*1000</f>
        <v>0</v>
      </c>
      <c r="DE42" s="105">
        <f>DE24*Цены!K88*(1+Предпосылки!$B$35)*1000</f>
        <v>0</v>
      </c>
      <c r="DF42" s="105">
        <f>DF24*Цены!L88*(1+Предпосылки!$B$35)*1000</f>
        <v>645980.91508477973</v>
      </c>
      <c r="DG42" s="105">
        <f>DG24*Цены!M88*(1+Предпосылки!$B$35)*1000</f>
        <v>796338.54187175434</v>
      </c>
      <c r="DH42" s="105">
        <f>DH24*Цены!B95*(1+Предпосылки!$B$35)*1000</f>
        <v>522882.56915418437</v>
      </c>
      <c r="DI42" s="105">
        <f>DI24*Цены!C95*(1+Предпосылки!$B$35)*1000</f>
        <v>528757.65420086088</v>
      </c>
      <c r="DJ42" s="105">
        <f>DJ24*Цены!D95*(1+Предпосылки!$B$35)*1000</f>
        <v>622759.01494768041</v>
      </c>
      <c r="DK42" s="105">
        <f>DK24*Цены!E95*(1+Предпосылки!$B$35)*1000</f>
        <v>804886.65139464347</v>
      </c>
      <c r="DL42" s="105">
        <f>DL24*Цены!F95*(1+Предпосылки!$B$35)*1000</f>
        <v>0</v>
      </c>
      <c r="DM42" s="105">
        <f>DM24*Цены!G95*(1+Предпосылки!$B$35)*1000</f>
        <v>0</v>
      </c>
      <c r="DN42" s="105">
        <f>DN24*Цены!H95*(1+Предпосылки!$B$35)*1000</f>
        <v>0</v>
      </c>
      <c r="DO42" s="105">
        <f>DO24*Цены!I95*(1+Предпосылки!$B$35)*1000</f>
        <v>0</v>
      </c>
      <c r="DP42" s="105">
        <f>DP24*Цены!J95*(1+Предпосылки!$B$35)*1000</f>
        <v>0</v>
      </c>
      <c r="DQ42" s="105">
        <f>DQ24*Цены!K95*(1+Предпосылки!$B$35)*1000</f>
        <v>0</v>
      </c>
      <c r="DR42" s="105">
        <f>DR24*Цены!L95*(1+Предпосылки!$B$35)*1000</f>
        <v>681509.86541444261</v>
      </c>
      <c r="DS42" s="105">
        <f>DS24*Цены!M95*(1+Предпосылки!$B$35)*1000</f>
        <v>840137.16167470091</v>
      </c>
      <c r="DT42" s="105">
        <f>DT24*Цены!B102*(1+Предпосылки!$B$35)*1000</f>
        <v>551641.11045766436</v>
      </c>
      <c r="DU42" s="105">
        <f>DU24*Цены!C102*(1+Предпосылки!$B$35)*1000</f>
        <v>557839.32518190821</v>
      </c>
      <c r="DV42" s="105">
        <f>DV24*Цены!D102*(1+Предпосылки!$B$35)*1000</f>
        <v>657010.76076980284</v>
      </c>
      <c r="DW42" s="105">
        <f>DW24*Цены!E102*(1+Предпосылки!$B$35)*1000</f>
        <v>849155.41722134873</v>
      </c>
      <c r="DX42" s="105">
        <f>DX24*Цены!F102*(1+Предпосылки!$B$35)*1000</f>
        <v>0</v>
      </c>
      <c r="DY42" s="105">
        <f>DY24*Цены!G102*(1+Предпосылки!$B$35)*1000</f>
        <v>0</v>
      </c>
      <c r="DZ42" s="105">
        <f>DZ24*Цены!H102*(1+Предпосылки!$B$35)*1000</f>
        <v>0</v>
      </c>
      <c r="EA42" s="105">
        <f>EA24*Цены!I102*(1+Предпосылки!$B$35)*1000</f>
        <v>0</v>
      </c>
      <c r="EB42" s="105">
        <f>EB24*Цены!J102*(1+Предпосылки!$B$35)*1000</f>
        <v>0</v>
      </c>
      <c r="EC42" s="105">
        <f>EC24*Цены!K102*(1+Предпосылки!$B$35)*1000</f>
        <v>0</v>
      </c>
      <c r="ED42" s="105">
        <f>ED24*Цены!L102*(1+Предпосылки!$B$35)*1000</f>
        <v>718992.90801223693</v>
      </c>
      <c r="EE42" s="105">
        <f>EE24*Цены!M102*(1+Предпосылки!$B$35)*1000</f>
        <v>886344.70556680951</v>
      </c>
      <c r="EF42" s="105">
        <f>EF24*Цены!B109*(1+Предпосылки!$B$35)*1000</f>
        <v>581981.371532836</v>
      </c>
      <c r="EG42" s="105">
        <f>EG24*Цены!C109*(1+Предпосылки!$B$35)*1000</f>
        <v>588520.48806691298</v>
      </c>
      <c r="EH42" s="105">
        <f>EH24*Цены!D109*(1+Предпосылки!$B$35)*1000</f>
        <v>693146.35261214175</v>
      </c>
      <c r="EI42" s="105">
        <f>EI24*Цены!E109*(1+Предпосылки!$B$35)*1000</f>
        <v>895858.96516852302</v>
      </c>
      <c r="EJ42" s="105">
        <f>EJ24*Цены!F109*(1+Предпосылки!$B$35)*1000</f>
        <v>0</v>
      </c>
      <c r="EK42" s="105">
        <f>EK24*Цены!G109*(1+Предпосылки!$B$35)*1000</f>
        <v>0</v>
      </c>
      <c r="EL42" s="105">
        <f>EL24*Цены!H109*(1+Предпосылки!$B$35)*1000</f>
        <v>0</v>
      </c>
      <c r="EM42" s="105">
        <f>EM24*Цены!I109*(1+Предпосылки!$B$35)*1000</f>
        <v>0</v>
      </c>
      <c r="EN42" s="105">
        <f>EN24*Цены!J109*(1+Предпосылки!$B$35)*1000</f>
        <v>0</v>
      </c>
      <c r="EO42" s="105">
        <f>EO24*Цены!K109*(1+Предпосылки!$B$35)*1000</f>
        <v>0</v>
      </c>
      <c r="EP42" s="105">
        <f>EP24*Цены!L109*(1+Предпосылки!$B$35)*1000</f>
        <v>758537.51795290981</v>
      </c>
      <c r="EQ42" s="105">
        <f>EQ24*Цены!M109*(1+Предпосылки!$B$35)*1000</f>
        <v>935093.66437298385</v>
      </c>
      <c r="ER42" s="105">
        <f>ER24*Цены!B116*(1+Предпосылки!$B$35)*1000</f>
        <v>613990.34696714196</v>
      </c>
      <c r="ES42" s="105">
        <f>ES24*Цены!C116*(1+Предпосылки!$B$35)*1000</f>
        <v>620889.11491059326</v>
      </c>
      <c r="ET42" s="105">
        <f>ET24*Цены!D116*(1+Предпосылки!$B$35)*1000</f>
        <v>731269.40200580948</v>
      </c>
      <c r="EU42" s="105">
        <f>EU24*Цены!E116*(1+Предпосылки!$B$35)*1000</f>
        <v>945131.20825279155</v>
      </c>
      <c r="EV42" s="105">
        <f>EV24*Цены!F116*(1+Предпосылки!$B$35)*1000</f>
        <v>0</v>
      </c>
      <c r="EW42" s="105">
        <f>EW24*Цены!G116*(1+Предпосылки!$B$35)*1000</f>
        <v>0</v>
      </c>
      <c r="EX42" s="105">
        <f>EX24*Цены!H116*(1+Предпосылки!$B$35)*1000</f>
        <v>0</v>
      </c>
      <c r="EY42" s="105">
        <f>EY24*Цены!I116*(1+Предпосылки!$B$35)*1000</f>
        <v>0</v>
      </c>
      <c r="EZ42" s="105">
        <f>EZ24*Цены!J116*(1+Предпосылки!$B$35)*1000</f>
        <v>0</v>
      </c>
      <c r="FA42" s="105">
        <f>FA24*Цены!K116*(1+Предпосылки!$B$35)*1000</f>
        <v>0</v>
      </c>
      <c r="FB42" s="105">
        <f>FB24*Цены!L116*(1+Предпосылки!$B$35)*1000</f>
        <v>800257.08144031989</v>
      </c>
      <c r="FC42" s="105">
        <f>FC24*Цены!M116*(1+Предпосылки!$B$35)*1000</f>
        <v>986523.81591349794</v>
      </c>
      <c r="FD42" s="105">
        <f>FD24*Цены!B123*(1+Предпосылки!$B$35)*1000</f>
        <v>647759.8160503346</v>
      </c>
      <c r="FE42" s="105">
        <f>FE24*Цены!C123*(1+Предпосылки!$B$35)*1000</f>
        <v>655038.01623067574</v>
      </c>
      <c r="FF42" s="105">
        <f>FF24*Цены!D123*(1+Предпосылки!$B$35)*1000</f>
        <v>771489.21911612898</v>
      </c>
      <c r="FG42" s="105">
        <f>FG24*Цены!E123*(1+Предпосылки!$B$35)*1000</f>
        <v>997113.42470669514</v>
      </c>
      <c r="FH42" s="105">
        <f>FH24*Цены!F123*(1+Предпосылки!$B$35)*1000</f>
        <v>0</v>
      </c>
      <c r="FI42" s="105">
        <f>FI24*Цены!G123*(1+Предпосылки!$B$35)*1000</f>
        <v>0</v>
      </c>
      <c r="FJ42" s="105">
        <f>FJ24*Цены!H123*(1+Предпосылки!$B$35)*1000</f>
        <v>0</v>
      </c>
      <c r="FK42" s="105">
        <f>FK24*Цены!I123*(1+Предпосылки!$B$35)*1000</f>
        <v>0</v>
      </c>
      <c r="FL42" s="105">
        <f>FL24*Цены!J123*(1+Предпосылки!$B$35)*1000</f>
        <v>0</v>
      </c>
      <c r="FM42" s="105">
        <f>FM24*Цены!K123*(1+Предпосылки!$B$35)*1000</f>
        <v>0</v>
      </c>
      <c r="FN42" s="105">
        <f>FN24*Цены!L123*(1+Предпосылки!$B$35)*1000</f>
        <v>844271.22091953747</v>
      </c>
      <c r="FO42" s="105">
        <f>FO24*Цены!M123*(1+Предпосылки!$B$35)*1000</f>
        <v>1040782.6257887402</v>
      </c>
    </row>
    <row r="43" spans="1:171">
      <c r="A43" s="87" t="s">
        <v>347</v>
      </c>
      <c r="B43" s="105">
        <f>B25*Цены!L26*(1+Предпосылки!$B$35)*1000</f>
        <v>0</v>
      </c>
      <c r="C43" s="105">
        <f>C25*Цены!M26*(1+Предпосылки!$B$35)*1000</f>
        <v>0</v>
      </c>
      <c r="D43" s="105">
        <f>D25*Цены!B26*(1+Предпосылки!$B$35)*1000</f>
        <v>0</v>
      </c>
      <c r="E43" s="105">
        <f>E25*Цены!C26*(1+Предпосылки!$B$35)*1000</f>
        <v>567443.1052152873</v>
      </c>
      <c r="F43" s="105">
        <f>F25*Цены!D26*(1+Предпосылки!$B$35)*1000</f>
        <v>789048.1048851629</v>
      </c>
      <c r="G43" s="105">
        <f>G25*Цены!E26*(1+Предпосылки!$B$35)*1000</f>
        <v>930069.46831144753</v>
      </c>
      <c r="H43" s="105">
        <f>H25*Цены!F26*(1+Предпосылки!$B$35)*1000</f>
        <v>0</v>
      </c>
      <c r="I43" s="105">
        <f>I25*Цены!G26*(1+Предпосылки!$B$35)*1000</f>
        <v>0</v>
      </c>
      <c r="J43" s="105">
        <f>J25*Цены!H26*(1+Предпосылки!$B$35)*1000</f>
        <v>0</v>
      </c>
      <c r="K43" s="105">
        <f>K25*Цены!I26*(1+Предпосылки!$B$35)*1000</f>
        <v>0</v>
      </c>
      <c r="L43" s="105">
        <f>L25*Цены!J26*(1+Предпосылки!$B$35)*1000</f>
        <v>0</v>
      </c>
      <c r="M43" s="105">
        <f>M25*Цены!K26*(1+Предпосылки!$B$35)*1000</f>
        <v>0</v>
      </c>
      <c r="N43" s="105">
        <f>N25*Цены!L26*(1+Предпосылки!$B$35)*1000</f>
        <v>167882.57550748155</v>
      </c>
      <c r="O43" s="105">
        <f>O25*Цены!M26*(1+Предпосылки!$B$35)*1000</f>
        <v>172919.05277270597</v>
      </c>
      <c r="P43" s="105">
        <f>P25*Цены!B40*(1+Предпосылки!$B$35)*1000</f>
        <v>277544.41165796947</v>
      </c>
      <c r="Q43" s="105">
        <f>Q25*Цены!C40*(1+Предпосылки!$B$35)*1000</f>
        <v>323482.79703584028</v>
      </c>
      <c r="R43" s="105">
        <f>R25*Цены!D40*(1+Предпосылки!$B$35)*1000</f>
        <v>449813.35682498501</v>
      </c>
      <c r="S43" s="105">
        <f>S25*Цены!E40*(1+Предпосылки!$B$35)*1000</f>
        <v>530205.53123625892</v>
      </c>
      <c r="T43" s="105">
        <f>T25*Цены!F40*(1+Предпосылки!$B$35)*1000</f>
        <v>0</v>
      </c>
      <c r="U43" s="105">
        <f>U25*Цены!G40*(1+Предпосылки!$B$35)*1000</f>
        <v>0</v>
      </c>
      <c r="V43" s="105">
        <f>V25*Цены!H40*(1+Предпосылки!$B$35)*1000</f>
        <v>0</v>
      </c>
      <c r="W43" s="105">
        <f>W25*Цены!I40*(1+Предпосылки!$B$35)*1000</f>
        <v>0</v>
      </c>
      <c r="X43" s="105">
        <f>X25*Цены!J40*(1+Предпосылки!$B$35)*1000</f>
        <v>0</v>
      </c>
      <c r="Y43" s="105">
        <f>Y25*Цены!K40*(1+Предпосылки!$B$35)*1000</f>
        <v>0</v>
      </c>
      <c r="Z43" s="105">
        <f>Z25*Цены!L40*(1+Предпосылки!$B$35)*1000</f>
        <v>191409.93907446167</v>
      </c>
      <c r="AA43" s="105">
        <f>AA25*Цены!M40*(1+Предпосылки!$B$35)*1000</f>
        <v>197152.23724669553</v>
      </c>
      <c r="AB43" s="105">
        <f>AB25*Цены!B47*(1+Предпосылки!$B$35)*1000</f>
        <v>292809.35429915774</v>
      </c>
      <c r="AC43" s="105">
        <f>AC25*Цены!C47*(1+Предпосылки!$B$35)*1000</f>
        <v>341274.35087281145</v>
      </c>
      <c r="AD43" s="105">
        <f>AD25*Цены!D47*(1+Предпосылки!$B$35)*1000</f>
        <v>474553.09145035909</v>
      </c>
      <c r="AE43" s="105">
        <f>AE25*Цены!E47*(1+Предпосылки!$B$35)*1000</f>
        <v>559366.83545425325</v>
      </c>
      <c r="AF43" s="105">
        <f>AF25*Цены!F47*(1+Предпосылки!$B$35)*1000</f>
        <v>0</v>
      </c>
      <c r="AG43" s="105">
        <f>AG25*Цены!G47*(1+Предпосылки!$B$35)*1000</f>
        <v>0</v>
      </c>
      <c r="AH43" s="105">
        <f>AH25*Цены!H47*(1+Предпосылки!$B$35)*1000</f>
        <v>0</v>
      </c>
      <c r="AI43" s="105">
        <f>AI25*Цены!I47*(1+Предпосылки!$B$35)*1000</f>
        <v>0</v>
      </c>
      <c r="AJ43" s="105">
        <f>AJ25*Цены!J47*(1+Предпосылки!$B$35)*1000</f>
        <v>0</v>
      </c>
      <c r="AK43" s="105">
        <f>AK25*Цены!K47*(1+Предпосылки!$B$35)*1000</f>
        <v>0</v>
      </c>
      <c r="AL43" s="105">
        <f>AL25*Цены!L47*(1+Предпосылки!$B$35)*1000</f>
        <v>201937.48572355707</v>
      </c>
      <c r="AM43" s="105">
        <f>AM25*Цены!M47*(1+Предпосылки!$B$35)*1000</f>
        <v>207995.61029526379</v>
      </c>
      <c r="AN43" s="105">
        <f>AN25*Цены!B54*(1+Предпосылки!$B$35)*1000</f>
        <v>308913.86878561147</v>
      </c>
      <c r="AO43" s="105">
        <f>AO25*Цены!C54*(1+Предпосылки!$B$35)*1000</f>
        <v>360044.44017081609</v>
      </c>
      <c r="AP43" s="105">
        <f>AP25*Цены!D54*(1+Предпосылки!$B$35)*1000</f>
        <v>500653.51148012886</v>
      </c>
      <c r="AQ43" s="105">
        <f>AQ25*Цены!E54*(1+Предпосылки!$B$35)*1000</f>
        <v>590132.01140423713</v>
      </c>
      <c r="AR43" s="105">
        <f>AR25*Цены!F54*(1+Предпосылки!$B$35)*1000</f>
        <v>0</v>
      </c>
      <c r="AS43" s="105">
        <f>AS25*Цены!G54*(1+Предпосылки!$B$35)*1000</f>
        <v>0</v>
      </c>
      <c r="AT43" s="105">
        <f>AT25*Цены!H54*(1+Предпосылки!$B$35)*1000</f>
        <v>0</v>
      </c>
      <c r="AU43" s="105">
        <f>AU25*Цены!I54*(1+Предпосылки!$B$35)*1000</f>
        <v>0</v>
      </c>
      <c r="AV43" s="105">
        <f>AV25*Цены!J54*(1+Предпосылки!$B$35)*1000</f>
        <v>0</v>
      </c>
      <c r="AW43" s="105">
        <f>AW25*Цены!K54*(1+Предпосылки!$B$35)*1000</f>
        <v>0</v>
      </c>
      <c r="AX43" s="105">
        <f>AX25*Цены!L54*(1+Предпосылки!$B$35)*1000</f>
        <v>213044.04743835272</v>
      </c>
      <c r="AY43" s="105">
        <f>AY25*Цены!M54*(1+Предпосылки!$B$35)*1000</f>
        <v>219435.36886150329</v>
      </c>
      <c r="AZ43" s="105">
        <f>AZ25*Цены!B61*(1+Предпосылки!$B$35)*1000</f>
        <v>325904.13156882016</v>
      </c>
      <c r="BA43" s="105">
        <f>BA25*Цены!C61*(1+Предпосылки!$B$35)*1000</f>
        <v>379846.88438021095</v>
      </c>
      <c r="BB43" s="105">
        <f>BB25*Цены!D61*(1+Предпосылки!$B$35)*1000</f>
        <v>528189.45461153588</v>
      </c>
      <c r="BC43" s="105">
        <f>BC25*Цены!E61*(1+Предпосылки!$B$35)*1000</f>
        <v>622589.2720314702</v>
      </c>
      <c r="BD43" s="105">
        <f>BD25*Цены!F61*(1+Предпосылки!$B$35)*1000</f>
        <v>0</v>
      </c>
      <c r="BE43" s="105">
        <f>BE25*Цены!G61*(1+Предпосылки!$B$35)*1000</f>
        <v>0</v>
      </c>
      <c r="BF43" s="105">
        <f>BF25*Цены!H61*(1+Предпосылки!$B$35)*1000</f>
        <v>0</v>
      </c>
      <c r="BG43" s="105">
        <f>BG25*Цены!I61*(1+Предпосылки!$B$35)*1000</f>
        <v>0</v>
      </c>
      <c r="BH43" s="105">
        <f>BH25*Цены!J61*(1+Предпосылки!$B$35)*1000</f>
        <v>0</v>
      </c>
      <c r="BI43" s="105">
        <f>BI25*Цены!K61*(1+Предпосылки!$B$35)*1000</f>
        <v>0</v>
      </c>
      <c r="BJ43" s="105">
        <f>BJ25*Цены!L61*(1+Предпосылки!$B$35)*1000</f>
        <v>224761.47004746206</v>
      </c>
      <c r="BK43" s="105">
        <f>BK25*Цены!M61*(1+Предпосылки!$B$35)*1000</f>
        <v>231504.31414888595</v>
      </c>
      <c r="BL43" s="105">
        <f>BL25*Цены!B68*(1+Предпосылки!$B$35)*1000</f>
        <v>343828.85880510521</v>
      </c>
      <c r="BM43" s="105">
        <f>BM25*Цены!C68*(1+Предпосылки!$B$35)*1000</f>
        <v>400738.4630211225</v>
      </c>
      <c r="BN43" s="105">
        <f>BN25*Цены!D68*(1+Предпосылки!$B$35)*1000</f>
        <v>557239.87461517041</v>
      </c>
      <c r="BO43" s="105">
        <f>BO25*Цены!E68*(1+Предпосылки!$B$35)*1000</f>
        <v>656831.68199320091</v>
      </c>
      <c r="BP43" s="105">
        <f>BP25*Цены!F68*(1+Предпосылки!$B$35)*1000</f>
        <v>0</v>
      </c>
      <c r="BQ43" s="105">
        <f>BQ25*Цены!G68*(1+Предпосылки!$B$35)*1000</f>
        <v>0</v>
      </c>
      <c r="BR43" s="105">
        <f>BR25*Цены!H68*(1+Предпосылки!$B$35)*1000</f>
        <v>0</v>
      </c>
      <c r="BS43" s="105">
        <f>BS25*Цены!I68*(1+Предпосылки!$B$35)*1000</f>
        <v>0</v>
      </c>
      <c r="BT43" s="105">
        <f>BT25*Цены!J68*(1+Предпосылки!$B$35)*1000</f>
        <v>0</v>
      </c>
      <c r="BU43" s="105">
        <f>BU25*Цены!K68*(1+Предпосылки!$B$35)*1000</f>
        <v>0</v>
      </c>
      <c r="BV43" s="105">
        <f>BV25*Цены!L68*(1+Предпосылки!$B$35)*1000</f>
        <v>237123.35090007246</v>
      </c>
      <c r="BW43" s="105">
        <f>BW25*Цены!M68*(1+Предпосылки!$B$35)*1000</f>
        <v>244237.05142707468</v>
      </c>
      <c r="BX43" s="105">
        <f>BX25*Цены!B75*(1+Предпосылки!$B$35)*1000</f>
        <v>362739.44603938586</v>
      </c>
      <c r="BY43" s="105">
        <f>BY25*Цены!C75*(1+Предпосылки!$B$35)*1000</f>
        <v>422779.07848728419</v>
      </c>
      <c r="BZ43" s="105">
        <f>BZ25*Цены!D75*(1+Предпосылки!$B$35)*1000</f>
        <v>587888.06771900482</v>
      </c>
      <c r="CA43" s="105">
        <f>CA25*Цены!E75*(1+Предпосылки!$B$35)*1000</f>
        <v>692957.42450282699</v>
      </c>
      <c r="CB43" s="105">
        <f>CB25*Цены!F75*(1+Предпосылки!$B$35)*1000</f>
        <v>0</v>
      </c>
      <c r="CC43" s="105">
        <f>CC25*Цены!G75*(1+Предпосылки!$B$35)*1000</f>
        <v>0</v>
      </c>
      <c r="CD43" s="105">
        <f>CD25*Цены!H75*(1+Предпосылки!$B$35)*1000</f>
        <v>0</v>
      </c>
      <c r="CE43" s="105">
        <f>CE25*Цены!I75*(1+Предпосылки!$B$35)*1000</f>
        <v>0</v>
      </c>
      <c r="CF43" s="105">
        <f>CF25*Цены!J75*(1+Предпосылки!$B$35)*1000</f>
        <v>0</v>
      </c>
      <c r="CG43" s="105">
        <f>CG25*Цены!K75*(1+Предпосылки!$B$35)*1000</f>
        <v>0</v>
      </c>
      <c r="CH43" s="105">
        <f>CH25*Цены!L75*(1+Предпосылки!$B$35)*1000</f>
        <v>250165.13519957644</v>
      </c>
      <c r="CI43" s="105">
        <f>CI25*Цены!M75*(1+Предпосылки!$B$35)*1000</f>
        <v>257670.08925556377</v>
      </c>
      <c r="CJ43" s="105">
        <f>CJ25*Цены!B82*(1+Предпосылки!$B$35)*1000</f>
        <v>382690.11557155213</v>
      </c>
      <c r="CK43" s="105">
        <f>CK25*Цены!C82*(1+Предпосылки!$B$35)*1000</f>
        <v>446031.92780408484</v>
      </c>
      <c r="CL43" s="105">
        <f>CL25*Цены!D82*(1+Предпосылки!$B$35)*1000</f>
        <v>620221.91144354991</v>
      </c>
      <c r="CM43" s="105">
        <f>CM25*Цены!E82*(1+Предпосылки!$B$35)*1000</f>
        <v>731070.08285048243</v>
      </c>
      <c r="CN43" s="105">
        <f>CN25*Цены!F82*(1+Предпосылки!$B$35)*1000</f>
        <v>0</v>
      </c>
      <c r="CO43" s="105">
        <f>CO25*Цены!G82*(1+Предпосылки!$B$35)*1000</f>
        <v>0</v>
      </c>
      <c r="CP43" s="105">
        <f>CP25*Цены!H82*(1+Предпосылки!$B$35)*1000</f>
        <v>0</v>
      </c>
      <c r="CQ43" s="105">
        <f>CQ25*Цены!I82*(1+Предпосылки!$B$35)*1000</f>
        <v>0</v>
      </c>
      <c r="CR43" s="105">
        <f>CR25*Цены!J82*(1+Предпосылки!$B$35)*1000</f>
        <v>0</v>
      </c>
      <c r="CS43" s="105">
        <f>CS25*Цены!K82*(1+Предпосылки!$B$35)*1000</f>
        <v>0</v>
      </c>
      <c r="CT43" s="105">
        <f>CT25*Цены!L82*(1+Предпосылки!$B$35)*1000</f>
        <v>263924.21763555316</v>
      </c>
      <c r="CU43" s="105">
        <f>CU25*Цены!M82*(1+Предпосылки!$B$35)*1000</f>
        <v>271841.94416461972</v>
      </c>
      <c r="CV43" s="105">
        <f>CV25*Цены!B89*(1+Предпосылки!$B$35)*1000</f>
        <v>403738.0719279875</v>
      </c>
      <c r="CW43" s="105">
        <f>CW25*Цены!C89*(1+Предпосылки!$B$35)*1000</f>
        <v>470563.68383330945</v>
      </c>
      <c r="CX43" s="105">
        <f>CX25*Цены!D89*(1+Предпосылки!$B$35)*1000</f>
        <v>654334.11657294503</v>
      </c>
      <c r="CY43" s="105">
        <f>CY25*Цены!E89*(1+Предпосылки!$B$35)*1000</f>
        <v>771278.93740725901</v>
      </c>
      <c r="CZ43" s="105">
        <f>CZ25*Цены!F89*(1+Предпосылки!$B$35)*1000</f>
        <v>0</v>
      </c>
      <c r="DA43" s="105">
        <f>DA25*Цены!G89*(1+Предпосылки!$B$35)*1000</f>
        <v>0</v>
      </c>
      <c r="DB43" s="105">
        <f>DB25*Цены!H89*(1+Предпосылки!$B$35)*1000</f>
        <v>0</v>
      </c>
      <c r="DC43" s="105">
        <f>DC25*Цены!I89*(1+Предпосылки!$B$35)*1000</f>
        <v>0</v>
      </c>
      <c r="DD43" s="105">
        <f>DD25*Цены!J89*(1+Предпосылки!$B$35)*1000</f>
        <v>0</v>
      </c>
      <c r="DE43" s="105">
        <f>DE25*Цены!K89*(1+Предпосылки!$B$35)*1000</f>
        <v>0</v>
      </c>
      <c r="DF43" s="105">
        <f>DF25*Цены!L89*(1+Предпосылки!$B$35)*1000</f>
        <v>278440.04960550851</v>
      </c>
      <c r="DG43" s="105">
        <f>DG25*Цены!M89*(1+Предпосылки!$B$35)*1000</f>
        <v>286793.25109367387</v>
      </c>
      <c r="DH43" s="105">
        <f>DH25*Цены!B96*(1+Предпосылки!$B$35)*1000</f>
        <v>425943.66588402679</v>
      </c>
      <c r="DI43" s="105">
        <f>DI25*Цены!C96*(1+Предпосылки!$B$35)*1000</f>
        <v>496444.68644414144</v>
      </c>
      <c r="DJ43" s="105">
        <f>DJ25*Цены!D96*(1+Предпосылки!$B$35)*1000</f>
        <v>690322.49298445706</v>
      </c>
      <c r="DK43" s="105">
        <f>DK25*Цены!E96*(1+Предпосылки!$B$35)*1000</f>
        <v>813699.27896465815</v>
      </c>
      <c r="DL43" s="105">
        <f>DL25*Цены!F96*(1+Предпосылки!$B$35)*1000</f>
        <v>0</v>
      </c>
      <c r="DM43" s="105">
        <f>DM25*Цены!G96*(1+Предпосылки!$B$35)*1000</f>
        <v>0</v>
      </c>
      <c r="DN43" s="105">
        <f>DN25*Цены!H96*(1+Предпосылки!$B$35)*1000</f>
        <v>0</v>
      </c>
      <c r="DO43" s="105">
        <f>DO25*Цены!I96*(1+Предпосылки!$B$35)*1000</f>
        <v>0</v>
      </c>
      <c r="DP43" s="105">
        <f>DP25*Цены!J96*(1+Предпосылки!$B$35)*1000</f>
        <v>0</v>
      </c>
      <c r="DQ43" s="105">
        <f>DQ25*Цены!K96*(1+Предпосылки!$B$35)*1000</f>
        <v>0</v>
      </c>
      <c r="DR43" s="105">
        <f>DR25*Цены!L96*(1+Предпосылки!$B$35)*1000</f>
        <v>293754.25233381148</v>
      </c>
      <c r="DS43" s="105">
        <f>DS25*Цены!M96*(1+Предпосылки!$B$35)*1000</f>
        <v>302566.87990382587</v>
      </c>
      <c r="DT43" s="105">
        <f>DT25*Цены!B103*(1+Предпосылки!$B$35)*1000</f>
        <v>449370.56750764826</v>
      </c>
      <c r="DU43" s="105">
        <f>DU25*Цены!C103*(1+Предпосылки!$B$35)*1000</f>
        <v>523749.14419856918</v>
      </c>
      <c r="DV43" s="105">
        <f>DV25*Цены!D103*(1+Предпосылки!$B$35)*1000</f>
        <v>728290.23009860213</v>
      </c>
      <c r="DW43" s="105">
        <f>DW25*Цены!E103*(1+Предпосылки!$B$35)*1000</f>
        <v>858452.73930771439</v>
      </c>
      <c r="DX43" s="105">
        <f>DX25*Цены!F103*(1+Предпосылки!$B$35)*1000</f>
        <v>0</v>
      </c>
      <c r="DY43" s="105">
        <f>DY25*Цены!G103*(1+Предпосылки!$B$35)*1000</f>
        <v>0</v>
      </c>
      <c r="DZ43" s="105">
        <f>DZ25*Цены!H103*(1+Предпосылки!$B$35)*1000</f>
        <v>0</v>
      </c>
      <c r="EA43" s="105">
        <f>EA25*Цены!I103*(1+Предпосылки!$B$35)*1000</f>
        <v>0</v>
      </c>
      <c r="EB43" s="105">
        <f>EB25*Цены!J103*(1+Предпосылки!$B$35)*1000</f>
        <v>0</v>
      </c>
      <c r="EC43" s="105">
        <f>EC25*Цены!K103*(1+Предпосылки!$B$35)*1000</f>
        <v>0</v>
      </c>
      <c r="ED43" s="105">
        <f>ED25*Цены!L103*(1+Предпосылки!$B$35)*1000</f>
        <v>309910.73621217109</v>
      </c>
      <c r="EE43" s="105">
        <f>EE25*Цены!M103*(1+Предпосылки!$B$35)*1000</f>
        <v>319208.05829853629</v>
      </c>
      <c r="EF43" s="105">
        <f>EF25*Цены!B110*(1+Предпосылки!$B$35)*1000</f>
        <v>474085.94872056885</v>
      </c>
      <c r="EG43" s="105">
        <f>EG25*Цены!C110*(1+Предпосылки!$B$35)*1000</f>
        <v>552555.34712949046</v>
      </c>
      <c r="EH43" s="105">
        <f>EH25*Цены!D110*(1+Предпосылки!$B$35)*1000</f>
        <v>768346.19275402522</v>
      </c>
      <c r="EI43" s="105">
        <f>EI25*Цены!E110*(1+Предпосылки!$B$35)*1000</f>
        <v>905667.63996963855</v>
      </c>
      <c r="EJ43" s="105">
        <f>EJ25*Цены!F110*(1+Предпосылки!$B$35)*1000</f>
        <v>0</v>
      </c>
      <c r="EK43" s="105">
        <f>EK25*Цены!G110*(1+Предпосылки!$B$35)*1000</f>
        <v>0</v>
      </c>
      <c r="EL43" s="105">
        <f>EL25*Цены!H110*(1+Предпосылки!$B$35)*1000</f>
        <v>0</v>
      </c>
      <c r="EM43" s="105">
        <f>EM25*Цены!I110*(1+Предпосылки!$B$35)*1000</f>
        <v>0</v>
      </c>
      <c r="EN43" s="105">
        <f>EN25*Цены!J110*(1+Предпосылки!$B$35)*1000</f>
        <v>0</v>
      </c>
      <c r="EO43" s="105">
        <f>EO25*Цены!K110*(1+Предпосылки!$B$35)*1000</f>
        <v>0</v>
      </c>
      <c r="EP43" s="105">
        <f>EP25*Цены!L110*(1+Предпосылки!$B$35)*1000</f>
        <v>326955.82670384052</v>
      </c>
      <c r="EQ43" s="105">
        <f>EQ25*Цены!M110*(1+Предпосылки!$B$35)*1000</f>
        <v>336764.5015049557</v>
      </c>
      <c r="ER43" s="105">
        <f>ER25*Цены!B117*(1+Предпосылки!$B$35)*1000</f>
        <v>500160.67590020015</v>
      </c>
      <c r="ES43" s="105">
        <f>ES25*Цены!C117*(1+Предпосылки!$B$35)*1000</f>
        <v>582945.89122161246</v>
      </c>
      <c r="ET43" s="105">
        <f>ET25*Цены!D117*(1+Предпосылки!$B$35)*1000</f>
        <v>810605.23335549643</v>
      </c>
      <c r="EU43" s="105">
        <f>EU25*Цены!E117*(1+Предпосылки!$B$35)*1000</f>
        <v>955479.36016796867</v>
      </c>
      <c r="EV43" s="105">
        <f>EV25*Цены!F117*(1+Предпосылки!$B$35)*1000</f>
        <v>0</v>
      </c>
      <c r="EW43" s="105">
        <f>EW25*Цены!G117*(1+Предпосылки!$B$35)*1000</f>
        <v>0</v>
      </c>
      <c r="EX43" s="105">
        <f>EX25*Цены!H117*(1+Предпосылки!$B$35)*1000</f>
        <v>0</v>
      </c>
      <c r="EY43" s="105">
        <f>EY25*Цены!I117*(1+Предпосылки!$B$35)*1000</f>
        <v>0</v>
      </c>
      <c r="EZ43" s="105">
        <f>EZ25*Цены!J117*(1+Предпосылки!$B$35)*1000</f>
        <v>0</v>
      </c>
      <c r="FA43" s="105">
        <f>FA25*Цены!K117*(1+Предпосылки!$B$35)*1000</f>
        <v>0</v>
      </c>
      <c r="FB43" s="105">
        <f>FB25*Цены!L117*(1+Предпосылки!$B$35)*1000</f>
        <v>344938.39717255166</v>
      </c>
      <c r="FC43" s="105">
        <f>FC25*Цены!M117*(1+Предпосылки!$B$35)*1000</f>
        <v>355286.54908772826</v>
      </c>
      <c r="FD43" s="105">
        <f>FD25*Цены!B124*(1+Предпосылки!$B$35)*1000</f>
        <v>527669.5130747112</v>
      </c>
      <c r="FE43" s="105">
        <f>FE25*Цены!C124*(1+Предпосылки!$B$35)*1000</f>
        <v>615007.91523880104</v>
      </c>
      <c r="FF43" s="105">
        <f>FF25*Цены!D124*(1+Предпосылки!$B$35)*1000</f>
        <v>855188.52119004878</v>
      </c>
      <c r="FG43" s="105">
        <f>FG25*Цены!E124*(1+Предпосылки!$B$35)*1000</f>
        <v>1008030.7249772069</v>
      </c>
      <c r="FH43" s="105">
        <f>FH25*Цены!F124*(1+Предпосылки!$B$35)*1000</f>
        <v>0</v>
      </c>
      <c r="FI43" s="105">
        <f>FI25*Цены!G124*(1+Предпосылки!$B$35)*1000</f>
        <v>0</v>
      </c>
      <c r="FJ43" s="105">
        <f>FJ25*Цены!H124*(1+Предпосылки!$B$35)*1000</f>
        <v>0</v>
      </c>
      <c r="FK43" s="105">
        <f>FK25*Цены!I124*(1+Предпосылки!$B$35)*1000</f>
        <v>0</v>
      </c>
      <c r="FL43" s="105">
        <f>FL25*Цены!J124*(1+Предпосылки!$B$35)*1000</f>
        <v>0</v>
      </c>
      <c r="FM43" s="105">
        <f>FM25*Цены!K124*(1+Предпосылки!$B$35)*1000</f>
        <v>0</v>
      </c>
      <c r="FN43" s="105">
        <f>FN25*Цены!L124*(1+Предпосылки!$B$35)*1000</f>
        <v>363910.009017042</v>
      </c>
      <c r="FO43" s="105">
        <f>FO25*Цены!M124*(1+Предпосылки!$B$35)*1000</f>
        <v>374827.30928755336</v>
      </c>
    </row>
  </sheetData>
  <conditionalFormatting sqref="B8:FO8">
    <cfRule type="cellIs" dxfId="6" priority="1" operator="lessThan">
      <formula>0</formula>
    </cfRule>
    <cfRule type="cellIs" dxfId="5" priority="3" operator="greaterThan">
      <formula>1</formula>
    </cfRule>
  </conditionalFormatting>
  <conditionalFormatting sqref="B33:FO33">
    <cfRule type="cellIs" dxfId="4" priority="2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A1AFD-91C7-4672-9DED-92D5DD4CCA47}">
  <dimension ref="A1:V9"/>
  <sheetViews>
    <sheetView zoomScaleNormal="100" workbookViewId="0">
      <selection activeCell="G12" sqref="G12"/>
    </sheetView>
  </sheetViews>
  <sheetFormatPr defaultColWidth="9" defaultRowHeight="14.4"/>
  <cols>
    <col min="1" max="1" width="44.77734375" customWidth="1"/>
    <col min="2" max="3" width="11.5546875" bestFit="1" customWidth="1"/>
    <col min="4" max="6" width="10.5546875" bestFit="1" customWidth="1"/>
    <col min="7" max="7" width="9.88671875" bestFit="1" customWidth="1"/>
    <col min="8" max="9" width="9.77734375" customWidth="1"/>
    <col min="10" max="10" width="9.88671875" bestFit="1" customWidth="1"/>
    <col min="11" max="17" width="10.5546875" bestFit="1" customWidth="1"/>
    <col min="18" max="18" width="11.5546875" bestFit="1" customWidth="1"/>
    <col min="20" max="20" width="7.44140625" bestFit="1" customWidth="1"/>
  </cols>
  <sheetData>
    <row r="1" spans="1:22" ht="18">
      <c r="A1" s="136" t="s">
        <v>319</v>
      </c>
      <c r="B1" s="53">
        <f>Предпосылки!B1</f>
        <v>2023</v>
      </c>
      <c r="C1" s="53">
        <f>Предпосылки!C1</f>
        <v>2024</v>
      </c>
      <c r="D1" s="53">
        <f>Предпосылки!D1</f>
        <v>2025</v>
      </c>
      <c r="E1" s="53">
        <f>Предпосылки!E1</f>
        <v>2026</v>
      </c>
      <c r="F1" s="53">
        <f>Предпосылки!F1</f>
        <v>2027</v>
      </c>
      <c r="G1" s="53">
        <f>Предпосылки!G1</f>
        <v>2028</v>
      </c>
      <c r="H1" s="53">
        <f>Предпосылки!H1</f>
        <v>2029</v>
      </c>
      <c r="I1" s="53">
        <f>Предпосылки!I1</f>
        <v>2030</v>
      </c>
      <c r="J1" s="53">
        <f>Предпосылки!J1</f>
        <v>2031</v>
      </c>
      <c r="K1" s="53">
        <f>Предпосылки!K1</f>
        <v>2032</v>
      </c>
      <c r="L1" s="53">
        <f>Предпосылки!L1</f>
        <v>2033</v>
      </c>
      <c r="M1" s="53">
        <f>Предпосылки!M1</f>
        <v>2034</v>
      </c>
      <c r="N1" s="53">
        <f>Предпосылки!N1</f>
        <v>2035</v>
      </c>
      <c r="O1" s="53">
        <f>Предпосылки!O1</f>
        <v>2036</v>
      </c>
      <c r="P1" s="53">
        <f>Предпосылки!P1</f>
        <v>2037</v>
      </c>
      <c r="Q1" s="53">
        <f>Предпосылки!Q1</f>
        <v>2038</v>
      </c>
      <c r="R1" s="4" t="s">
        <v>26</v>
      </c>
    </row>
    <row r="2" spans="1:22">
      <c r="A2" s="2" t="s">
        <v>320</v>
      </c>
      <c r="B2" s="105">
        <f>-('CapEx и аморт.'!E26-'CapEx и аморт.'!D26)/Предпосылки!B3</f>
        <v>-11425465.976924064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>
        <f t="shared" ref="R2:R8" si="0">SUM(B2:Q2)</f>
        <v>-11425465.976924064</v>
      </c>
      <c r="T2" s="88"/>
    </row>
    <row r="3" spans="1:22">
      <c r="A3" s="2" t="s">
        <v>321</v>
      </c>
      <c r="B3" s="105">
        <f>ОПиУ!B19+(ОПиУ!B22+ОПиУ!B23+ОПиУ!B24+ОПиУ!B27+ОПиУ!B28)*Предпосылки!B10/Предпосылки!B3</f>
        <v>0</v>
      </c>
      <c r="C3" s="105">
        <f>ОПиУ!C19+(ОПиУ!C22+ОПиУ!C23+ОПиУ!C24+ОПиУ!C27+ОПиУ!C28)*Предпосылки!C10/Предпосылки!C3</f>
        <v>-393357.89917669713</v>
      </c>
      <c r="D3" s="105">
        <f>ОПиУ!D19+(ОПиУ!D22+ОПиУ!D23+ОПиУ!D24+ОПиУ!D27+ОПиУ!D28)*Предпосылки!D10/Предпосылки!D3</f>
        <v>-850297.54261647374</v>
      </c>
      <c r="E3" s="105">
        <f>ОПиУ!E19+(ОПиУ!E22+ОПиУ!E23+ОПиУ!E24+ОПиУ!E27+ОПиУ!E28)*Предпосылки!E10/Предпосылки!E3</f>
        <v>-763937.87661403336</v>
      </c>
      <c r="F3" s="105">
        <f>ОПиУ!F19+(ОПиУ!F22+ОПиУ!F23+ОПиУ!F24+ОПиУ!F27+ОПиУ!F28)*Предпосылки!F10/Предпосылки!F3</f>
        <v>-805917.29703692149</v>
      </c>
      <c r="G3" s="105">
        <f>ОПиУ!G19+(ОПиУ!G22+ОПиУ!G23+ОПиУ!G24+ОПиУ!G27+ОПиУ!G28)*Предпосылки!G10/Предпосылки!G3</f>
        <v>-850206.4021635768</v>
      </c>
      <c r="H3" s="105">
        <f>ОПиУ!H19+(ОПиУ!H22+ОПиУ!H23+ОПиУ!H24+ОПиУ!H27+ОПиУ!H28)*Предпосылки!H10/Предпосылки!H3</f>
        <v>-896932.22612935922</v>
      </c>
      <c r="I3" s="105">
        <f>ОПиУ!I19+(ОПиУ!I22+ОПиУ!I23+ОПиУ!I24+ОПиУ!I27+ОПиУ!I28)*Предпосылки!I10/Предпосылки!I3</f>
        <v>-946228.75487019226</v>
      </c>
      <c r="J3" s="105">
        <f>ОПиУ!J19+(ОПиУ!J22+ОПиУ!J23+ОПиУ!J24+ОПиУ!J27+ОПиУ!J28)*Предпосылки!J10/Предпосылки!J3</f>
        <v>-998237.3444705524</v>
      </c>
      <c r="K3" s="105">
        <f>ОПиУ!K19+(ОПиУ!K22+ОПиУ!K23+ОПиУ!K24+ОПиУ!K27+ОПиУ!K28)*Предпосылки!K10/Предпосылки!K3</f>
        <v>-1053107.1264887655</v>
      </c>
      <c r="L3" s="105">
        <f>ОПиУ!L19+(ОПиУ!L22+ОПиУ!L23+ОПиУ!L24+ОПиУ!L27+ОПиУ!L28)*Предпосылки!L10/Предпосылки!L3</f>
        <v>-1110995.435576184</v>
      </c>
      <c r="M3" s="105">
        <f>ОПиУ!M19+(ОПиУ!M22+ОПиУ!M23+ОПиУ!M24+ОПиУ!M27+ОПиУ!M28)*Предпосылки!M10/Предпосылки!M3</f>
        <v>-1172068.2606163642</v>
      </c>
      <c r="N3" s="105">
        <f>ОПиУ!N19+(ОПиУ!N22+ОПиУ!N23+ОПиУ!N24+ОПиУ!N27+ОПиУ!N28)*Предпосылки!N10/Предпосылки!N3</f>
        <v>-1236498.3115630045</v>
      </c>
      <c r="O3" s="105">
        <f>ОПиУ!O19+(ОПиУ!O22+ОПиУ!O23+ОПиУ!O24+ОПиУ!O27+ОПиУ!O28)*Предпосылки!O10/Предпосылки!O3</f>
        <v>-1304474.9281483709</v>
      </c>
      <c r="P3" s="105">
        <f>ОПиУ!P19+(ОПиУ!P22+ОПиУ!P23+ОПиУ!P24+ОПиУ!P27+ОПиУ!P28)*Предпосылки!P10/Предпосылки!P3</f>
        <v>-1376190.8454639823</v>
      </c>
      <c r="Q3" s="105">
        <f>ОПиУ!Q19+(ОПиУ!Q22+ОПиУ!Q23+ОПиУ!Q24+ОПиУ!Q27+ОПиУ!Q28)*Предпосылки!Q10/Предпосылки!Q3</f>
        <v>-1451851.6977451637</v>
      </c>
      <c r="R3" s="105">
        <f t="shared" si="0"/>
        <v>-15210301.948679639</v>
      </c>
      <c r="T3" s="88"/>
    </row>
    <row r="4" spans="1:22">
      <c r="A4" s="2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22">
      <c r="A5" s="2" t="s">
        <v>316</v>
      </c>
      <c r="B5" s="105"/>
      <c r="C5" s="105">
        <f>ОПиУ!C8</f>
        <v>71472.721838830621</v>
      </c>
      <c r="D5" s="105">
        <f>ОПиУ!D8</f>
        <v>5083761.7076415801</v>
      </c>
      <c r="E5" s="105">
        <f>ОПиУ!E8</f>
        <v>3022049.2961502974</v>
      </c>
      <c r="F5" s="105">
        <f>ОПиУ!F8</f>
        <v>3189366.2088290504</v>
      </c>
      <c r="G5" s="105">
        <f>ОПиУ!G8</f>
        <v>3364781.3503146484</v>
      </c>
      <c r="H5" s="105">
        <f>ОПиУ!H8</f>
        <v>3549844.3245819546</v>
      </c>
      <c r="I5" s="105">
        <f>ОПиУ!I8</f>
        <v>3745085.762433961</v>
      </c>
      <c r="J5" s="105">
        <f>ОПиУ!J8</f>
        <v>3951065.4793678299</v>
      </c>
      <c r="K5" s="105">
        <f>ОПиУ!K8</f>
        <v>4168374.0807330594</v>
      </c>
      <c r="L5" s="105">
        <f>ОПиУ!L8</f>
        <v>4397634.6551733771</v>
      </c>
      <c r="M5" s="105">
        <f>ОПиУ!M8</f>
        <v>4639504.5612079129</v>
      </c>
      <c r="N5" s="105">
        <f>ОПиУ!N8</f>
        <v>4569071.0529917004</v>
      </c>
      <c r="O5" s="105">
        <f>ОПиУ!O8</f>
        <v>4795388.1450378764</v>
      </c>
      <c r="P5" s="105">
        <f>ОПиУ!P8</f>
        <v>5034152.6771465922</v>
      </c>
      <c r="Q5" s="105">
        <f>ОПиУ!Q8</f>
        <v>5286049.2585212877</v>
      </c>
      <c r="R5" s="105">
        <f t="shared" si="0"/>
        <v>58867601.281969965</v>
      </c>
    </row>
    <row r="6" spans="1:22">
      <c r="A6" s="2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22">
      <c r="A7" s="2" t="s">
        <v>317</v>
      </c>
      <c r="B7" s="105">
        <f>B2-B3+B5</f>
        <v>-11425465.976924064</v>
      </c>
      <c r="C7" s="105">
        <f>B7+C3+C5-B8</f>
        <v>-11747351.15426193</v>
      </c>
      <c r="D7" s="105">
        <f t="shared" ref="D7:I7" si="1">C7+D3+D5-C8</f>
        <v>-7513886.9892368233</v>
      </c>
      <c r="E7" s="105">
        <f t="shared" si="1"/>
        <v>-5255775.5697005596</v>
      </c>
      <c r="F7" s="105">
        <f t="shared" si="1"/>
        <v>-2872326.6579084308</v>
      </c>
      <c r="G7" s="105">
        <f t="shared" si="1"/>
        <v>-357751.70975735923</v>
      </c>
      <c r="H7" s="105">
        <f t="shared" si="1"/>
        <v>2295160.3886952363</v>
      </c>
      <c r="I7" s="105">
        <f t="shared" si="1"/>
        <v>2798857.0075637689</v>
      </c>
      <c r="J7" s="105">
        <f>I7+J3+J5-I8</f>
        <v>2952828.1348972777</v>
      </c>
      <c r="K7" s="105">
        <f>J7+K3+K5-J8</f>
        <v>3115266.9542442942</v>
      </c>
      <c r="L7" s="105">
        <f t="shared" ref="L7:Q7" si="2">K7+L3+L5-K8</f>
        <v>3286639.2195971934</v>
      </c>
      <c r="M7" s="105">
        <f t="shared" si="2"/>
        <v>3467436.3005915489</v>
      </c>
      <c r="N7" s="105">
        <f t="shared" si="2"/>
        <v>3332572.7414286956</v>
      </c>
      <c r="O7" s="105">
        <f t="shared" si="2"/>
        <v>3490913.2168895053</v>
      </c>
      <c r="P7" s="105">
        <f t="shared" si="2"/>
        <v>3657961.8316826103</v>
      </c>
      <c r="Q7" s="105">
        <f t="shared" si="2"/>
        <v>3834197.5607761238</v>
      </c>
      <c r="R7" s="105"/>
    </row>
    <row r="8" spans="1:22">
      <c r="A8" s="2" t="s">
        <v>318</v>
      </c>
      <c r="B8" s="105">
        <f>IF(B7&gt;0,B7,0)</f>
        <v>0</v>
      </c>
      <c r="C8" s="105">
        <f t="shared" ref="C8:H8" si="3">IF(C7&gt;0,C7,0)</f>
        <v>0</v>
      </c>
      <c r="D8" s="105">
        <f t="shared" si="3"/>
        <v>0</v>
      </c>
      <c r="E8" s="105">
        <f t="shared" si="3"/>
        <v>0</v>
      </c>
      <c r="F8" s="105">
        <f t="shared" si="3"/>
        <v>0</v>
      </c>
      <c r="G8" s="105">
        <f t="shared" si="3"/>
        <v>0</v>
      </c>
      <c r="H8" s="105">
        <f t="shared" si="3"/>
        <v>2295160.3886952363</v>
      </c>
      <c r="I8" s="105">
        <f>IF(I7&gt;0,I7,0)</f>
        <v>2798857.0075637689</v>
      </c>
      <c r="J8" s="105">
        <f t="shared" ref="J8:Q8" si="4">IF(J7&gt;0,J7,0)</f>
        <v>2952828.1348972777</v>
      </c>
      <c r="K8" s="105">
        <f t="shared" si="4"/>
        <v>3115266.9542442942</v>
      </c>
      <c r="L8" s="105">
        <f t="shared" si="4"/>
        <v>3286639.2195971934</v>
      </c>
      <c r="M8" s="105">
        <f t="shared" si="4"/>
        <v>3467436.3005915489</v>
      </c>
      <c r="N8" s="105">
        <f t="shared" si="4"/>
        <v>3332572.7414286956</v>
      </c>
      <c r="O8" s="105">
        <f t="shared" si="4"/>
        <v>3490913.2168895053</v>
      </c>
      <c r="P8" s="105">
        <f t="shared" si="4"/>
        <v>3657961.8316826103</v>
      </c>
      <c r="Q8" s="105">
        <f t="shared" si="4"/>
        <v>3834197.5607761238</v>
      </c>
      <c r="R8" s="105">
        <f t="shared" si="0"/>
        <v>32231833.356366254</v>
      </c>
      <c r="S8" s="52"/>
      <c r="T8" s="52"/>
      <c r="U8" s="52"/>
      <c r="V8" s="52"/>
    </row>
    <row r="9" spans="1:22">
      <c r="A9" s="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3"/>
    </row>
  </sheetData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46AF-918A-46FC-B578-A0D168289792}">
  <dimension ref="A1:DX26"/>
  <sheetViews>
    <sheetView zoomScaleNormal="100" zoomScalePageLayoutView="85" workbookViewId="0">
      <pane xSplit="1" topLeftCell="B1" activePane="topRight" state="frozen"/>
      <selection pane="topRight" activeCell="CH6" sqref="CH6:DQ6"/>
    </sheetView>
  </sheetViews>
  <sheetFormatPr defaultColWidth="8.88671875" defaultRowHeight="14.4"/>
  <cols>
    <col min="1" max="1" width="37.6640625" style="69" customWidth="1"/>
    <col min="2" max="70" width="11.88671875" style="69" bestFit="1" customWidth="1"/>
    <col min="71" max="116" width="10.88671875" style="69" bestFit="1" customWidth="1"/>
    <col min="117" max="121" width="9.88671875" style="69" bestFit="1" customWidth="1"/>
    <col min="122" max="122" width="8.109375" style="69" bestFit="1" customWidth="1"/>
    <col min="123" max="123" width="8" style="69" bestFit="1" customWidth="1"/>
    <col min="124" max="124" width="6.21875" style="69" bestFit="1" customWidth="1"/>
    <col min="125" max="125" width="7.33203125" style="69" bestFit="1" customWidth="1"/>
    <col min="126" max="126" width="6.33203125" style="69" bestFit="1" customWidth="1"/>
    <col min="127" max="127" width="7.88671875" style="69" bestFit="1" customWidth="1"/>
    <col min="128" max="128" width="6.5546875" style="69" bestFit="1" customWidth="1"/>
    <col min="129" max="16384" width="8.88671875" style="69"/>
  </cols>
  <sheetData>
    <row r="1" spans="1:128">
      <c r="A1" s="166" t="s">
        <v>291</v>
      </c>
      <c r="B1" s="98">
        <f t="shared" ref="B1:K1" si="0">YEAR(B2)</f>
        <v>2023</v>
      </c>
      <c r="C1" s="98">
        <f t="shared" si="0"/>
        <v>2023</v>
      </c>
      <c r="D1" s="98">
        <f t="shared" si="0"/>
        <v>2023</v>
      </c>
      <c r="E1" s="98">
        <f t="shared" si="0"/>
        <v>2023</v>
      </c>
      <c r="F1" s="98">
        <f t="shared" si="0"/>
        <v>2023</v>
      </c>
      <c r="G1" s="98">
        <f t="shared" si="0"/>
        <v>2023</v>
      </c>
      <c r="H1" s="98">
        <f t="shared" si="0"/>
        <v>2023</v>
      </c>
      <c r="I1" s="98">
        <f t="shared" si="0"/>
        <v>2024</v>
      </c>
      <c r="J1" s="98">
        <f t="shared" si="0"/>
        <v>2024</v>
      </c>
      <c r="K1" s="98">
        <f t="shared" si="0"/>
        <v>2024</v>
      </c>
      <c r="L1" s="98">
        <f t="shared" ref="L1:AQ1" si="1">YEAR(L2)</f>
        <v>2024</v>
      </c>
      <c r="M1" s="98">
        <f t="shared" si="1"/>
        <v>2024</v>
      </c>
      <c r="N1" s="98">
        <f t="shared" si="1"/>
        <v>2024</v>
      </c>
      <c r="O1" s="98">
        <f t="shared" si="1"/>
        <v>2024</v>
      </c>
      <c r="P1" s="98">
        <f t="shared" si="1"/>
        <v>2024</v>
      </c>
      <c r="Q1" s="98">
        <f t="shared" si="1"/>
        <v>2024</v>
      </c>
      <c r="R1" s="98">
        <f t="shared" si="1"/>
        <v>2024</v>
      </c>
      <c r="S1" s="98">
        <f t="shared" si="1"/>
        <v>2024</v>
      </c>
      <c r="T1" s="98">
        <f t="shared" si="1"/>
        <v>2024</v>
      </c>
      <c r="U1" s="98">
        <f t="shared" si="1"/>
        <v>2025</v>
      </c>
      <c r="V1" s="98">
        <f t="shared" si="1"/>
        <v>2025</v>
      </c>
      <c r="W1" s="98">
        <f t="shared" si="1"/>
        <v>2025</v>
      </c>
      <c r="X1" s="98">
        <f t="shared" si="1"/>
        <v>2025</v>
      </c>
      <c r="Y1" s="98">
        <f t="shared" si="1"/>
        <v>2025</v>
      </c>
      <c r="Z1" s="98">
        <f t="shared" si="1"/>
        <v>2025</v>
      </c>
      <c r="AA1" s="98">
        <f t="shared" si="1"/>
        <v>2025</v>
      </c>
      <c r="AB1" s="98">
        <f t="shared" si="1"/>
        <v>2025</v>
      </c>
      <c r="AC1" s="98">
        <f t="shared" si="1"/>
        <v>2025</v>
      </c>
      <c r="AD1" s="98">
        <f t="shared" si="1"/>
        <v>2025</v>
      </c>
      <c r="AE1" s="98">
        <f t="shared" si="1"/>
        <v>2025</v>
      </c>
      <c r="AF1" s="98">
        <f t="shared" si="1"/>
        <v>2025</v>
      </c>
      <c r="AG1" s="98">
        <f t="shared" si="1"/>
        <v>2026</v>
      </c>
      <c r="AH1" s="98">
        <f t="shared" si="1"/>
        <v>2026</v>
      </c>
      <c r="AI1" s="98">
        <f t="shared" si="1"/>
        <v>2026</v>
      </c>
      <c r="AJ1" s="98">
        <f t="shared" si="1"/>
        <v>2026</v>
      </c>
      <c r="AK1" s="98">
        <f t="shared" si="1"/>
        <v>2026</v>
      </c>
      <c r="AL1" s="98">
        <f t="shared" si="1"/>
        <v>2026</v>
      </c>
      <c r="AM1" s="98">
        <f t="shared" si="1"/>
        <v>2026</v>
      </c>
      <c r="AN1" s="98">
        <f t="shared" si="1"/>
        <v>2026</v>
      </c>
      <c r="AO1" s="98">
        <f t="shared" si="1"/>
        <v>2026</v>
      </c>
      <c r="AP1" s="98">
        <f t="shared" si="1"/>
        <v>2026</v>
      </c>
      <c r="AQ1" s="98">
        <f t="shared" si="1"/>
        <v>2026</v>
      </c>
      <c r="AR1" s="98">
        <f t="shared" ref="AR1:BW1" si="2">YEAR(AR2)</f>
        <v>2026</v>
      </c>
      <c r="AS1" s="98">
        <f t="shared" si="2"/>
        <v>2027</v>
      </c>
      <c r="AT1" s="98">
        <f t="shared" si="2"/>
        <v>2027</v>
      </c>
      <c r="AU1" s="98">
        <f t="shared" si="2"/>
        <v>2027</v>
      </c>
      <c r="AV1" s="98">
        <f t="shared" si="2"/>
        <v>2027</v>
      </c>
      <c r="AW1" s="98">
        <f t="shared" si="2"/>
        <v>2027</v>
      </c>
      <c r="AX1" s="98">
        <f t="shared" si="2"/>
        <v>2027</v>
      </c>
      <c r="AY1" s="98">
        <f t="shared" si="2"/>
        <v>2027</v>
      </c>
      <c r="AZ1" s="98">
        <f t="shared" si="2"/>
        <v>2027</v>
      </c>
      <c r="BA1" s="98">
        <f t="shared" si="2"/>
        <v>2027</v>
      </c>
      <c r="BB1" s="98">
        <f t="shared" si="2"/>
        <v>2027</v>
      </c>
      <c r="BC1" s="98">
        <f t="shared" si="2"/>
        <v>2027</v>
      </c>
      <c r="BD1" s="98">
        <f t="shared" si="2"/>
        <v>2027</v>
      </c>
      <c r="BE1" s="98">
        <f t="shared" si="2"/>
        <v>2028</v>
      </c>
      <c r="BF1" s="98">
        <f t="shared" si="2"/>
        <v>2028</v>
      </c>
      <c r="BG1" s="98">
        <f t="shared" si="2"/>
        <v>2028</v>
      </c>
      <c r="BH1" s="98">
        <f t="shared" si="2"/>
        <v>2028</v>
      </c>
      <c r="BI1" s="98">
        <f t="shared" si="2"/>
        <v>2028</v>
      </c>
      <c r="BJ1" s="98">
        <f t="shared" si="2"/>
        <v>2028</v>
      </c>
      <c r="BK1" s="98">
        <f t="shared" si="2"/>
        <v>2028</v>
      </c>
      <c r="BL1" s="98">
        <f t="shared" si="2"/>
        <v>2028</v>
      </c>
      <c r="BM1" s="98">
        <f t="shared" si="2"/>
        <v>2028</v>
      </c>
      <c r="BN1" s="98">
        <f t="shared" si="2"/>
        <v>2028</v>
      </c>
      <c r="BO1" s="98">
        <f t="shared" si="2"/>
        <v>2028</v>
      </c>
      <c r="BP1" s="98">
        <f t="shared" si="2"/>
        <v>2028</v>
      </c>
      <c r="BQ1" s="98">
        <f t="shared" si="2"/>
        <v>2029</v>
      </c>
      <c r="BR1" s="98">
        <f t="shared" si="2"/>
        <v>2029</v>
      </c>
      <c r="BS1" s="98">
        <f t="shared" si="2"/>
        <v>2029</v>
      </c>
      <c r="BT1" s="98">
        <f t="shared" si="2"/>
        <v>2029</v>
      </c>
      <c r="BU1" s="98">
        <f t="shared" si="2"/>
        <v>2029</v>
      </c>
      <c r="BV1" s="98">
        <f t="shared" si="2"/>
        <v>2029</v>
      </c>
      <c r="BW1" s="98">
        <f t="shared" si="2"/>
        <v>2029</v>
      </c>
      <c r="BX1" s="98">
        <f t="shared" ref="BX1:CZ1" si="3">YEAR(BX2)</f>
        <v>2029</v>
      </c>
      <c r="BY1" s="98">
        <f t="shared" si="3"/>
        <v>2029</v>
      </c>
      <c r="BZ1" s="98">
        <f t="shared" si="3"/>
        <v>2029</v>
      </c>
      <c r="CA1" s="98">
        <f t="shared" si="3"/>
        <v>2029</v>
      </c>
      <c r="CB1" s="98">
        <f t="shared" si="3"/>
        <v>2029</v>
      </c>
      <c r="CC1" s="98">
        <f t="shared" si="3"/>
        <v>2030</v>
      </c>
      <c r="CD1" s="98">
        <f t="shared" si="3"/>
        <v>2030</v>
      </c>
      <c r="CE1" s="98">
        <f t="shared" si="3"/>
        <v>2030</v>
      </c>
      <c r="CF1" s="98">
        <f t="shared" si="3"/>
        <v>2030</v>
      </c>
      <c r="CG1" s="98">
        <f t="shared" si="3"/>
        <v>2030</v>
      </c>
      <c r="CH1" s="98">
        <f t="shared" si="3"/>
        <v>2030</v>
      </c>
      <c r="CI1" s="98">
        <f t="shared" si="3"/>
        <v>2030</v>
      </c>
      <c r="CJ1" s="98">
        <f t="shared" si="3"/>
        <v>2030</v>
      </c>
      <c r="CK1" s="98">
        <f t="shared" si="3"/>
        <v>2030</v>
      </c>
      <c r="CL1" s="98">
        <f t="shared" si="3"/>
        <v>2030</v>
      </c>
      <c r="CM1" s="98">
        <f t="shared" si="3"/>
        <v>2030</v>
      </c>
      <c r="CN1" s="98">
        <f t="shared" si="3"/>
        <v>2030</v>
      </c>
      <c r="CO1" s="98">
        <f t="shared" si="3"/>
        <v>2031</v>
      </c>
      <c r="CP1" s="98">
        <f t="shared" si="3"/>
        <v>2031</v>
      </c>
      <c r="CQ1" s="98">
        <f t="shared" si="3"/>
        <v>2031</v>
      </c>
      <c r="CR1" s="98">
        <f t="shared" si="3"/>
        <v>2031</v>
      </c>
      <c r="CS1" s="98">
        <f t="shared" si="3"/>
        <v>2031</v>
      </c>
      <c r="CT1" s="98">
        <f t="shared" si="3"/>
        <v>2031</v>
      </c>
      <c r="CU1" s="98">
        <f t="shared" si="3"/>
        <v>2031</v>
      </c>
      <c r="CV1" s="98">
        <f t="shared" si="3"/>
        <v>2031</v>
      </c>
      <c r="CW1" s="98">
        <f t="shared" si="3"/>
        <v>2031</v>
      </c>
      <c r="CX1" s="98">
        <f t="shared" si="3"/>
        <v>2031</v>
      </c>
      <c r="CY1" s="98">
        <f t="shared" si="3"/>
        <v>2031</v>
      </c>
      <c r="CZ1" s="98">
        <f t="shared" si="3"/>
        <v>2031</v>
      </c>
      <c r="DA1" s="98">
        <f t="shared" ref="DA1:DX1" si="4">YEAR(DA2)</f>
        <v>2032</v>
      </c>
      <c r="DB1" s="98">
        <f t="shared" ref="DB1:DT1" si="5">YEAR(DB2)</f>
        <v>2032</v>
      </c>
      <c r="DC1" s="98">
        <f t="shared" si="4"/>
        <v>2032</v>
      </c>
      <c r="DD1" s="98">
        <f t="shared" si="5"/>
        <v>2032</v>
      </c>
      <c r="DE1" s="98">
        <f t="shared" si="4"/>
        <v>2032</v>
      </c>
      <c r="DF1" s="98">
        <f t="shared" si="5"/>
        <v>2032</v>
      </c>
      <c r="DG1" s="98">
        <f t="shared" si="4"/>
        <v>2032</v>
      </c>
      <c r="DH1" s="98">
        <f t="shared" si="5"/>
        <v>2032</v>
      </c>
      <c r="DI1" s="98">
        <f t="shared" si="4"/>
        <v>2032</v>
      </c>
      <c r="DJ1" s="98">
        <f t="shared" si="5"/>
        <v>2032</v>
      </c>
      <c r="DK1" s="98">
        <f t="shared" si="4"/>
        <v>2032</v>
      </c>
      <c r="DL1" s="98">
        <f t="shared" si="5"/>
        <v>2032</v>
      </c>
      <c r="DM1" s="98">
        <f t="shared" si="4"/>
        <v>2033</v>
      </c>
      <c r="DN1" s="98">
        <f t="shared" si="5"/>
        <v>2033</v>
      </c>
      <c r="DO1" s="98">
        <f t="shared" si="4"/>
        <v>2033</v>
      </c>
      <c r="DP1" s="98">
        <f t="shared" si="5"/>
        <v>2033</v>
      </c>
      <c r="DQ1" s="98">
        <f t="shared" si="4"/>
        <v>2033</v>
      </c>
      <c r="DR1" s="98">
        <f t="shared" si="5"/>
        <v>2033</v>
      </c>
      <c r="DS1" s="98">
        <f t="shared" si="4"/>
        <v>2033</v>
      </c>
      <c r="DT1" s="98">
        <f t="shared" si="5"/>
        <v>2033</v>
      </c>
      <c r="DU1" s="98">
        <f t="shared" si="4"/>
        <v>2033</v>
      </c>
      <c r="DV1" s="98">
        <f t="shared" si="4"/>
        <v>2033</v>
      </c>
      <c r="DW1" s="98">
        <f t="shared" si="4"/>
        <v>2033</v>
      </c>
      <c r="DX1" s="98">
        <f t="shared" si="4"/>
        <v>2033</v>
      </c>
    </row>
    <row r="2" spans="1:128">
      <c r="A2" s="166"/>
      <c r="B2" s="99">
        <v>45078</v>
      </c>
      <c r="C2" s="99">
        <v>45108</v>
      </c>
      <c r="D2" s="99">
        <v>45139</v>
      </c>
      <c r="E2" s="99">
        <v>45170</v>
      </c>
      <c r="F2" s="99">
        <v>45200</v>
      </c>
      <c r="G2" s="99">
        <v>45231</v>
      </c>
      <c r="H2" s="99">
        <v>45261</v>
      </c>
      <c r="I2" s="99">
        <v>45292</v>
      </c>
      <c r="J2" s="99">
        <v>45323</v>
      </c>
      <c r="K2" s="99">
        <v>45352</v>
      </c>
      <c r="L2" s="99">
        <v>45383</v>
      </c>
      <c r="M2" s="99">
        <v>45413</v>
      </c>
      <c r="N2" s="99">
        <v>45444</v>
      </c>
      <c r="O2" s="99">
        <v>45474</v>
      </c>
      <c r="P2" s="99">
        <v>45505</v>
      </c>
      <c r="Q2" s="99">
        <v>45536</v>
      </c>
      <c r="R2" s="99">
        <v>45566</v>
      </c>
      <c r="S2" s="99">
        <v>45597</v>
      </c>
      <c r="T2" s="99">
        <v>45627</v>
      </c>
      <c r="U2" s="99">
        <v>45658</v>
      </c>
      <c r="V2" s="99">
        <v>45689</v>
      </c>
      <c r="W2" s="99">
        <v>45717</v>
      </c>
      <c r="X2" s="99">
        <v>45748</v>
      </c>
      <c r="Y2" s="99">
        <v>45778</v>
      </c>
      <c r="Z2" s="99">
        <v>45809</v>
      </c>
      <c r="AA2" s="99">
        <v>45839</v>
      </c>
      <c r="AB2" s="99">
        <v>45870</v>
      </c>
      <c r="AC2" s="99">
        <v>45901</v>
      </c>
      <c r="AD2" s="99">
        <v>45931</v>
      </c>
      <c r="AE2" s="99">
        <v>45962</v>
      </c>
      <c r="AF2" s="99">
        <v>45992</v>
      </c>
      <c r="AG2" s="99">
        <v>46023</v>
      </c>
      <c r="AH2" s="99">
        <v>46054</v>
      </c>
      <c r="AI2" s="99">
        <v>46082</v>
      </c>
      <c r="AJ2" s="99">
        <v>46113</v>
      </c>
      <c r="AK2" s="99">
        <v>46143</v>
      </c>
      <c r="AL2" s="99">
        <v>46174</v>
      </c>
      <c r="AM2" s="99">
        <v>46204</v>
      </c>
      <c r="AN2" s="99">
        <v>46235</v>
      </c>
      <c r="AO2" s="99">
        <v>46266</v>
      </c>
      <c r="AP2" s="99">
        <v>46296</v>
      </c>
      <c r="AQ2" s="99">
        <v>46327</v>
      </c>
      <c r="AR2" s="99">
        <v>46357</v>
      </c>
      <c r="AS2" s="99">
        <v>46388</v>
      </c>
      <c r="AT2" s="99">
        <v>46419</v>
      </c>
      <c r="AU2" s="99">
        <v>46447</v>
      </c>
      <c r="AV2" s="99">
        <v>46478</v>
      </c>
      <c r="AW2" s="99">
        <v>46508</v>
      </c>
      <c r="AX2" s="99">
        <v>46539</v>
      </c>
      <c r="AY2" s="99">
        <v>46569</v>
      </c>
      <c r="AZ2" s="99">
        <v>46600</v>
      </c>
      <c r="BA2" s="99">
        <v>46631</v>
      </c>
      <c r="BB2" s="99">
        <v>46661</v>
      </c>
      <c r="BC2" s="99">
        <v>46692</v>
      </c>
      <c r="BD2" s="99">
        <v>46722</v>
      </c>
      <c r="BE2" s="99">
        <v>46753</v>
      </c>
      <c r="BF2" s="99">
        <v>46784</v>
      </c>
      <c r="BG2" s="99">
        <v>46813</v>
      </c>
      <c r="BH2" s="99">
        <v>46844</v>
      </c>
      <c r="BI2" s="99">
        <v>46874</v>
      </c>
      <c r="BJ2" s="99">
        <v>46905</v>
      </c>
      <c r="BK2" s="99">
        <v>46935</v>
      </c>
      <c r="BL2" s="99">
        <v>46966</v>
      </c>
      <c r="BM2" s="99">
        <v>46997</v>
      </c>
      <c r="BN2" s="99">
        <v>47027</v>
      </c>
      <c r="BO2" s="99">
        <v>47058</v>
      </c>
      <c r="BP2" s="99">
        <v>47088</v>
      </c>
      <c r="BQ2" s="99">
        <v>47119</v>
      </c>
      <c r="BR2" s="99">
        <v>47150</v>
      </c>
      <c r="BS2" s="99">
        <v>47178</v>
      </c>
      <c r="BT2" s="99">
        <v>47209</v>
      </c>
      <c r="BU2" s="99">
        <v>47239</v>
      </c>
      <c r="BV2" s="99">
        <v>47270</v>
      </c>
      <c r="BW2" s="99">
        <v>47300</v>
      </c>
      <c r="BX2" s="99">
        <v>47331</v>
      </c>
      <c r="BY2" s="99">
        <v>47362</v>
      </c>
      <c r="BZ2" s="99">
        <v>47392</v>
      </c>
      <c r="CA2" s="99">
        <v>47423</v>
      </c>
      <c r="CB2" s="99">
        <v>47453</v>
      </c>
      <c r="CC2" s="99">
        <v>47484</v>
      </c>
      <c r="CD2" s="99">
        <v>47515</v>
      </c>
      <c r="CE2" s="99">
        <v>47543</v>
      </c>
      <c r="CF2" s="99">
        <v>47574</v>
      </c>
      <c r="CG2" s="99">
        <v>47604</v>
      </c>
      <c r="CH2" s="99">
        <v>47635</v>
      </c>
      <c r="CI2" s="99">
        <v>47665</v>
      </c>
      <c r="CJ2" s="99">
        <v>47696</v>
      </c>
      <c r="CK2" s="99">
        <v>47727</v>
      </c>
      <c r="CL2" s="99">
        <v>47757</v>
      </c>
      <c r="CM2" s="99">
        <v>47788</v>
      </c>
      <c r="CN2" s="99">
        <v>47818</v>
      </c>
      <c r="CO2" s="99">
        <v>47849</v>
      </c>
      <c r="CP2" s="99">
        <v>47880</v>
      </c>
      <c r="CQ2" s="99">
        <v>47908</v>
      </c>
      <c r="CR2" s="99">
        <v>47939</v>
      </c>
      <c r="CS2" s="99">
        <v>47969</v>
      </c>
      <c r="CT2" s="99">
        <v>48000</v>
      </c>
      <c r="CU2" s="99">
        <v>48030</v>
      </c>
      <c r="CV2" s="99">
        <v>48061</v>
      </c>
      <c r="CW2" s="99">
        <v>48092</v>
      </c>
      <c r="CX2" s="99">
        <v>48122</v>
      </c>
      <c r="CY2" s="99">
        <v>48153</v>
      </c>
      <c r="CZ2" s="99">
        <v>48183</v>
      </c>
      <c r="DA2" s="99">
        <v>48214</v>
      </c>
      <c r="DB2" s="99">
        <v>48245</v>
      </c>
      <c r="DC2" s="99">
        <v>48274</v>
      </c>
      <c r="DD2" s="99">
        <v>48305</v>
      </c>
      <c r="DE2" s="99">
        <v>48335</v>
      </c>
      <c r="DF2" s="99">
        <v>48366</v>
      </c>
      <c r="DG2" s="99">
        <v>48396</v>
      </c>
      <c r="DH2" s="99">
        <v>48427</v>
      </c>
      <c r="DI2" s="99">
        <v>48458</v>
      </c>
      <c r="DJ2" s="99">
        <v>48488</v>
      </c>
      <c r="DK2" s="99">
        <v>48519</v>
      </c>
      <c r="DL2" s="99">
        <v>48549</v>
      </c>
      <c r="DM2" s="99">
        <v>48580</v>
      </c>
      <c r="DN2" s="99">
        <v>48611</v>
      </c>
      <c r="DO2" s="99">
        <v>48639</v>
      </c>
      <c r="DP2" s="99">
        <v>48670</v>
      </c>
      <c r="DQ2" s="99">
        <v>48700</v>
      </c>
      <c r="DR2" s="99">
        <v>48731</v>
      </c>
      <c r="DS2" s="99">
        <v>48761</v>
      </c>
      <c r="DT2" s="99">
        <v>48792</v>
      </c>
      <c r="DU2" s="99">
        <v>48823</v>
      </c>
      <c r="DV2" s="99">
        <v>48853</v>
      </c>
      <c r="DW2" s="99">
        <v>48884</v>
      </c>
      <c r="DX2" s="99">
        <v>48914</v>
      </c>
    </row>
    <row r="3" spans="1:128">
      <c r="A3" s="73" t="s">
        <v>86</v>
      </c>
      <c r="B3" s="105">
        <v>0</v>
      </c>
      <c r="C3" s="105">
        <f>B3+B4-B5</f>
        <v>103575108.43441387</v>
      </c>
      <c r="D3" s="105">
        <f t="shared" ref="D3:BO3" si="6">C3+C4-C5</f>
        <v>103575108.43441387</v>
      </c>
      <c r="E3" s="105">
        <f t="shared" si="6"/>
        <v>103575108.43441387</v>
      </c>
      <c r="F3" s="105">
        <f t="shared" si="6"/>
        <v>103575108.43441387</v>
      </c>
      <c r="G3" s="105">
        <f t="shared" si="6"/>
        <v>103575108.43441387</v>
      </c>
      <c r="H3" s="105">
        <f t="shared" si="6"/>
        <v>103575108.43441387</v>
      </c>
      <c r="I3" s="105">
        <f t="shared" si="6"/>
        <v>103575108.43441387</v>
      </c>
      <c r="J3" s="105">
        <f t="shared" si="6"/>
        <v>103575108.43441387</v>
      </c>
      <c r="K3" s="105">
        <f t="shared" si="6"/>
        <v>103575108.43441387</v>
      </c>
      <c r="L3" s="105">
        <f t="shared" si="6"/>
        <v>103575108.43441387</v>
      </c>
      <c r="M3" s="105">
        <f t="shared" si="6"/>
        <v>103575108.43441387</v>
      </c>
      <c r="N3" s="105">
        <f t="shared" si="6"/>
        <v>103575108.43441387</v>
      </c>
      <c r="O3" s="105">
        <f t="shared" si="6"/>
        <v>103575108.43441387</v>
      </c>
      <c r="P3" s="105">
        <f t="shared" si="6"/>
        <v>103575108.43441387</v>
      </c>
      <c r="Q3" s="105">
        <f t="shared" si="6"/>
        <v>103575108.43441387</v>
      </c>
      <c r="R3" s="105">
        <f t="shared" si="6"/>
        <v>103575108.43441387</v>
      </c>
      <c r="S3" s="105">
        <f t="shared" si="6"/>
        <v>103575108.43441387</v>
      </c>
      <c r="T3" s="105">
        <f t="shared" si="6"/>
        <v>103575108.43441387</v>
      </c>
      <c r="U3" s="105">
        <f t="shared" si="6"/>
        <v>103575108.43441387</v>
      </c>
      <c r="V3" s="105">
        <f t="shared" si="6"/>
        <v>103575108.43441387</v>
      </c>
      <c r="W3" s="105">
        <f t="shared" si="6"/>
        <v>103575108.43441387</v>
      </c>
      <c r="X3" s="105">
        <f t="shared" si="6"/>
        <v>103575108.43441387</v>
      </c>
      <c r="Y3" s="105">
        <f t="shared" si="6"/>
        <v>103575108.43441387</v>
      </c>
      <c r="Z3" s="105">
        <f t="shared" si="6"/>
        <v>103575108.43441387</v>
      </c>
      <c r="AA3" s="105">
        <f t="shared" si="6"/>
        <v>103575108.43441387</v>
      </c>
      <c r="AB3" s="105">
        <f t="shared" si="6"/>
        <v>103575108.43441387</v>
      </c>
      <c r="AC3" s="105">
        <f t="shared" si="6"/>
        <v>103575108.43441387</v>
      </c>
      <c r="AD3" s="105">
        <f t="shared" si="6"/>
        <v>103575108.43441387</v>
      </c>
      <c r="AE3" s="105">
        <f t="shared" si="6"/>
        <v>103575108.43441387</v>
      </c>
      <c r="AF3" s="105">
        <f t="shared" si="6"/>
        <v>103575108.43441387</v>
      </c>
      <c r="AG3" s="105">
        <f t="shared" si="6"/>
        <v>103575108.43441387</v>
      </c>
      <c r="AH3" s="105">
        <f t="shared" si="6"/>
        <v>103575108.43441387</v>
      </c>
      <c r="AI3" s="105">
        <f t="shared" si="6"/>
        <v>103575108.43441387</v>
      </c>
      <c r="AJ3" s="105">
        <f t="shared" si="6"/>
        <v>103575108.43441387</v>
      </c>
      <c r="AK3" s="105">
        <f t="shared" si="6"/>
        <v>103575108.43441387</v>
      </c>
      <c r="AL3" s="105">
        <f t="shared" si="6"/>
        <v>103575108.43441387</v>
      </c>
      <c r="AM3" s="105">
        <f t="shared" si="6"/>
        <v>101417293.67536357</v>
      </c>
      <c r="AN3" s="105">
        <f t="shared" si="6"/>
        <v>99259478.916313276</v>
      </c>
      <c r="AO3" s="105">
        <f t="shared" si="6"/>
        <v>97101664.157262981</v>
      </c>
      <c r="AP3" s="105">
        <f t="shared" si="6"/>
        <v>94943849.398212686</v>
      </c>
      <c r="AQ3" s="105">
        <f t="shared" si="6"/>
        <v>92786034.639162391</v>
      </c>
      <c r="AR3" s="105">
        <f t="shared" si="6"/>
        <v>90628219.880112097</v>
      </c>
      <c r="AS3" s="105">
        <f t="shared" si="6"/>
        <v>88470405.121061802</v>
      </c>
      <c r="AT3" s="105">
        <f t="shared" si="6"/>
        <v>86312590.362011507</v>
      </c>
      <c r="AU3" s="105">
        <f t="shared" si="6"/>
        <v>84154775.602961212</v>
      </c>
      <c r="AV3" s="105">
        <f t="shared" si="6"/>
        <v>81996960.843910918</v>
      </c>
      <c r="AW3" s="105">
        <f t="shared" si="6"/>
        <v>79839146.084860623</v>
      </c>
      <c r="AX3" s="105">
        <f t="shared" si="6"/>
        <v>77681331.325810328</v>
      </c>
      <c r="AY3" s="105">
        <f t="shared" si="6"/>
        <v>75523516.566760033</v>
      </c>
      <c r="AZ3" s="105">
        <f t="shared" si="6"/>
        <v>73365701.807709739</v>
      </c>
      <c r="BA3" s="105">
        <f t="shared" si="6"/>
        <v>71207887.048659444</v>
      </c>
      <c r="BB3" s="105">
        <f t="shared" si="6"/>
        <v>69050072.289609149</v>
      </c>
      <c r="BC3" s="105">
        <f t="shared" si="6"/>
        <v>66892257.530558862</v>
      </c>
      <c r="BD3" s="105">
        <f t="shared" si="6"/>
        <v>64734442.771508574</v>
      </c>
      <c r="BE3" s="105">
        <f t="shared" si="6"/>
        <v>62576628.012458287</v>
      </c>
      <c r="BF3" s="105">
        <f t="shared" si="6"/>
        <v>60418813.253408</v>
      </c>
      <c r="BG3" s="105">
        <f t="shared" si="6"/>
        <v>58260998.494357713</v>
      </c>
      <c r="BH3" s="105">
        <f t="shared" si="6"/>
        <v>56103183.735307425</v>
      </c>
      <c r="BI3" s="105">
        <f t="shared" si="6"/>
        <v>53945368.976257138</v>
      </c>
      <c r="BJ3" s="105">
        <f t="shared" si="6"/>
        <v>51787554.217206851</v>
      </c>
      <c r="BK3" s="105">
        <f t="shared" si="6"/>
        <v>49629739.458156563</v>
      </c>
      <c r="BL3" s="105">
        <f t="shared" si="6"/>
        <v>47471924.699106276</v>
      </c>
      <c r="BM3" s="105">
        <f t="shared" si="6"/>
        <v>45314109.940055989</v>
      </c>
      <c r="BN3" s="105">
        <f t="shared" si="6"/>
        <v>43156295.181005701</v>
      </c>
      <c r="BO3" s="105">
        <f t="shared" si="6"/>
        <v>40998480.421955414</v>
      </c>
      <c r="BP3" s="105">
        <f t="shared" ref="BP3:CV3" si="7">BO3+BO4-BO5</f>
        <v>38840665.662905127</v>
      </c>
      <c r="BQ3" s="105">
        <f t="shared" si="7"/>
        <v>36682850.90385484</v>
      </c>
      <c r="BR3" s="105">
        <f t="shared" si="7"/>
        <v>34525036.144804552</v>
      </c>
      <c r="BS3" s="105">
        <f t="shared" si="7"/>
        <v>32367221.385754265</v>
      </c>
      <c r="BT3" s="105">
        <f t="shared" si="7"/>
        <v>30209406.626703978</v>
      </c>
      <c r="BU3" s="105">
        <f t="shared" si="7"/>
        <v>28051591.86765369</v>
      </c>
      <c r="BV3" s="105">
        <f t="shared" si="7"/>
        <v>25893777.108603403</v>
      </c>
      <c r="BW3" s="105">
        <f t="shared" si="7"/>
        <v>23735962.349553116</v>
      </c>
      <c r="BX3" s="105">
        <f t="shared" si="7"/>
        <v>21578147.590502828</v>
      </c>
      <c r="BY3" s="105">
        <f t="shared" si="7"/>
        <v>19420332.831452541</v>
      </c>
      <c r="BZ3" s="105">
        <f t="shared" si="7"/>
        <v>17262518.072402254</v>
      </c>
      <c r="CA3" s="105">
        <f t="shared" si="7"/>
        <v>15104703.313351965</v>
      </c>
      <c r="CB3" s="105">
        <f t="shared" si="7"/>
        <v>12946888.554301675</v>
      </c>
      <c r="CC3" s="105">
        <f t="shared" si="7"/>
        <v>10789073.795251386</v>
      </c>
      <c r="CD3" s="105">
        <f t="shared" si="7"/>
        <v>8631259.0362010971</v>
      </c>
      <c r="CE3" s="105">
        <f t="shared" si="7"/>
        <v>6473444.2771508079</v>
      </c>
      <c r="CF3" s="105">
        <f t="shared" si="7"/>
        <v>4315629.5181005187</v>
      </c>
      <c r="CG3" s="105">
        <f t="shared" si="7"/>
        <v>2157814.75905023</v>
      </c>
      <c r="CH3" s="105">
        <f t="shared" si="7"/>
        <v>-5.8673322200775146E-8</v>
      </c>
      <c r="CI3" s="105">
        <f t="shared" si="7"/>
        <v>-5.8673322200775146E-8</v>
      </c>
      <c r="CJ3" s="105">
        <f t="shared" si="7"/>
        <v>-5.8673322200775146E-8</v>
      </c>
      <c r="CK3" s="105">
        <f t="shared" si="7"/>
        <v>-5.8673322200775146E-8</v>
      </c>
      <c r="CL3" s="105">
        <f t="shared" si="7"/>
        <v>-5.8673322200775146E-8</v>
      </c>
      <c r="CM3" s="105">
        <f t="shared" si="7"/>
        <v>-5.8673322200775146E-8</v>
      </c>
      <c r="CN3" s="105">
        <f t="shared" si="7"/>
        <v>-5.8673322200775146E-8</v>
      </c>
      <c r="CO3" s="105">
        <f t="shared" si="7"/>
        <v>-5.8673322200775146E-8</v>
      </c>
      <c r="CP3" s="105">
        <f t="shared" si="7"/>
        <v>-5.8673322200775146E-8</v>
      </c>
      <c r="CQ3" s="105">
        <f t="shared" si="7"/>
        <v>-5.8673322200775146E-8</v>
      </c>
      <c r="CR3" s="105">
        <f t="shared" si="7"/>
        <v>-5.8673322200775146E-8</v>
      </c>
      <c r="CS3" s="105">
        <f t="shared" si="7"/>
        <v>-5.8673322200775146E-8</v>
      </c>
      <c r="CT3" s="105">
        <f t="shared" si="7"/>
        <v>-5.8673322200775146E-8</v>
      </c>
      <c r="CU3" s="105">
        <f t="shared" si="7"/>
        <v>-5.8673322200775146E-8</v>
      </c>
      <c r="CV3" s="105">
        <f t="shared" si="7"/>
        <v>-5.8673322200775146E-8</v>
      </c>
      <c r="CW3" s="105">
        <f>CV3+CV4-CV5</f>
        <v>-5.8673322200775146E-8</v>
      </c>
      <c r="CX3" s="105">
        <f>CW3+CW4-CW5</f>
        <v>-5.8673322200775146E-8</v>
      </c>
      <c r="CY3" s="105">
        <f t="shared" ref="CY3:DX3" si="8">CX3+CX4-CX5</f>
        <v>-5.8673322200775146E-8</v>
      </c>
      <c r="CZ3" s="105">
        <f t="shared" si="8"/>
        <v>-5.8673322200775146E-8</v>
      </c>
      <c r="DA3" s="105">
        <f t="shared" si="8"/>
        <v>-5.8673322200775146E-8</v>
      </c>
      <c r="DB3" s="105">
        <f t="shared" si="8"/>
        <v>-5.8673322200775146E-8</v>
      </c>
      <c r="DC3" s="105">
        <f t="shared" si="8"/>
        <v>-5.8673322200775146E-8</v>
      </c>
      <c r="DD3" s="105">
        <f t="shared" si="8"/>
        <v>-5.8673322200775146E-8</v>
      </c>
      <c r="DE3" s="105">
        <f t="shared" si="8"/>
        <v>-5.8673322200775146E-8</v>
      </c>
      <c r="DF3" s="105">
        <f t="shared" si="8"/>
        <v>-5.8673322200775146E-8</v>
      </c>
      <c r="DG3" s="105">
        <f t="shared" si="8"/>
        <v>-5.8673322200775146E-8</v>
      </c>
      <c r="DH3" s="105">
        <f t="shared" si="8"/>
        <v>-5.8673322200775146E-8</v>
      </c>
      <c r="DI3" s="105">
        <f t="shared" si="8"/>
        <v>-5.8673322200775146E-8</v>
      </c>
      <c r="DJ3" s="105">
        <f t="shared" si="8"/>
        <v>-5.8673322200775146E-8</v>
      </c>
      <c r="DK3" s="105">
        <f t="shared" si="8"/>
        <v>-5.8673322200775146E-8</v>
      </c>
      <c r="DL3" s="105">
        <f t="shared" si="8"/>
        <v>-5.8673322200775146E-8</v>
      </c>
      <c r="DM3" s="105">
        <f t="shared" si="8"/>
        <v>-5.8673322200775146E-8</v>
      </c>
      <c r="DN3" s="105">
        <f t="shared" si="8"/>
        <v>-5.8673322200775146E-8</v>
      </c>
      <c r="DO3" s="105">
        <f t="shared" si="8"/>
        <v>-5.8673322200775146E-8</v>
      </c>
      <c r="DP3" s="105">
        <f t="shared" si="8"/>
        <v>-5.8673322200775146E-8</v>
      </c>
      <c r="DQ3" s="105">
        <f t="shared" si="8"/>
        <v>-5.8673322200775146E-8</v>
      </c>
      <c r="DR3" s="105">
        <f t="shared" si="8"/>
        <v>-5.8673322200775146E-8</v>
      </c>
      <c r="DS3" s="105">
        <f t="shared" si="8"/>
        <v>-5.8673322200775146E-8</v>
      </c>
      <c r="DT3" s="105">
        <f t="shared" si="8"/>
        <v>-5.8673322200775146E-8</v>
      </c>
      <c r="DU3" s="105">
        <f t="shared" si="8"/>
        <v>-5.8673322200775146E-8</v>
      </c>
      <c r="DV3" s="105">
        <f t="shared" si="8"/>
        <v>-5.8673322200775146E-8</v>
      </c>
      <c r="DW3" s="105">
        <f t="shared" si="8"/>
        <v>-5.8673322200775146E-8</v>
      </c>
      <c r="DX3" s="105">
        <f t="shared" si="8"/>
        <v>-5.8673322200775146E-8</v>
      </c>
    </row>
    <row r="4" spans="1:128">
      <c r="A4" s="73" t="s">
        <v>103</v>
      </c>
      <c r="B4" s="105">
        <f>B11</f>
        <v>103575108.43441387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</row>
    <row r="5" spans="1:128">
      <c r="A5" s="73" t="s">
        <v>87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>
        <f t="shared" ref="AL5:BQ5" si="9">$B$4/($B$12-$B$13)</f>
        <v>2157814.7590502887</v>
      </c>
      <c r="AM5" s="105">
        <f t="shared" si="9"/>
        <v>2157814.7590502887</v>
      </c>
      <c r="AN5" s="105">
        <f t="shared" si="9"/>
        <v>2157814.7590502887</v>
      </c>
      <c r="AO5" s="105">
        <f t="shared" si="9"/>
        <v>2157814.7590502887</v>
      </c>
      <c r="AP5" s="105">
        <f t="shared" si="9"/>
        <v>2157814.7590502887</v>
      </c>
      <c r="AQ5" s="105">
        <f t="shared" si="9"/>
        <v>2157814.7590502887</v>
      </c>
      <c r="AR5" s="105">
        <f t="shared" si="9"/>
        <v>2157814.7590502887</v>
      </c>
      <c r="AS5" s="105">
        <f t="shared" si="9"/>
        <v>2157814.7590502887</v>
      </c>
      <c r="AT5" s="105">
        <f t="shared" si="9"/>
        <v>2157814.7590502887</v>
      </c>
      <c r="AU5" s="105">
        <f t="shared" si="9"/>
        <v>2157814.7590502887</v>
      </c>
      <c r="AV5" s="105">
        <f t="shared" si="9"/>
        <v>2157814.7590502887</v>
      </c>
      <c r="AW5" s="105">
        <f t="shared" si="9"/>
        <v>2157814.7590502887</v>
      </c>
      <c r="AX5" s="105">
        <f t="shared" si="9"/>
        <v>2157814.7590502887</v>
      </c>
      <c r="AY5" s="105">
        <f t="shared" si="9"/>
        <v>2157814.7590502887</v>
      </c>
      <c r="AZ5" s="105">
        <f t="shared" si="9"/>
        <v>2157814.7590502887</v>
      </c>
      <c r="BA5" s="105">
        <f t="shared" si="9"/>
        <v>2157814.7590502887</v>
      </c>
      <c r="BB5" s="105">
        <f t="shared" si="9"/>
        <v>2157814.7590502887</v>
      </c>
      <c r="BC5" s="105">
        <f t="shared" si="9"/>
        <v>2157814.7590502887</v>
      </c>
      <c r="BD5" s="105">
        <f t="shared" si="9"/>
        <v>2157814.7590502887</v>
      </c>
      <c r="BE5" s="105">
        <f t="shared" si="9"/>
        <v>2157814.7590502887</v>
      </c>
      <c r="BF5" s="105">
        <f t="shared" si="9"/>
        <v>2157814.7590502887</v>
      </c>
      <c r="BG5" s="105">
        <f t="shared" si="9"/>
        <v>2157814.7590502887</v>
      </c>
      <c r="BH5" s="105">
        <f t="shared" si="9"/>
        <v>2157814.7590502887</v>
      </c>
      <c r="BI5" s="105">
        <f t="shared" si="9"/>
        <v>2157814.7590502887</v>
      </c>
      <c r="BJ5" s="105">
        <f t="shared" si="9"/>
        <v>2157814.7590502887</v>
      </c>
      <c r="BK5" s="105">
        <f t="shared" si="9"/>
        <v>2157814.7590502887</v>
      </c>
      <c r="BL5" s="105">
        <f t="shared" si="9"/>
        <v>2157814.7590502887</v>
      </c>
      <c r="BM5" s="105">
        <f t="shared" si="9"/>
        <v>2157814.7590502887</v>
      </c>
      <c r="BN5" s="105">
        <f t="shared" si="9"/>
        <v>2157814.7590502887</v>
      </c>
      <c r="BO5" s="105">
        <f t="shared" si="9"/>
        <v>2157814.7590502887</v>
      </c>
      <c r="BP5" s="105">
        <f t="shared" si="9"/>
        <v>2157814.7590502887</v>
      </c>
      <c r="BQ5" s="105">
        <f t="shared" si="9"/>
        <v>2157814.7590502887</v>
      </c>
      <c r="BR5" s="105">
        <f t="shared" ref="BR5:CW5" si="10">$B$4/($B$12-$B$13)</f>
        <v>2157814.7590502887</v>
      </c>
      <c r="BS5" s="105">
        <f t="shared" si="10"/>
        <v>2157814.7590502887</v>
      </c>
      <c r="BT5" s="105">
        <f t="shared" si="10"/>
        <v>2157814.7590502887</v>
      </c>
      <c r="BU5" s="105">
        <f t="shared" si="10"/>
        <v>2157814.7590502887</v>
      </c>
      <c r="BV5" s="105">
        <f t="shared" si="10"/>
        <v>2157814.7590502887</v>
      </c>
      <c r="BW5" s="105">
        <f t="shared" si="10"/>
        <v>2157814.7590502887</v>
      </c>
      <c r="BX5" s="105">
        <f t="shared" si="10"/>
        <v>2157814.7590502887</v>
      </c>
      <c r="BY5" s="105">
        <f t="shared" si="10"/>
        <v>2157814.7590502887</v>
      </c>
      <c r="BZ5" s="105">
        <f t="shared" si="10"/>
        <v>2157814.7590502887</v>
      </c>
      <c r="CA5" s="105">
        <f t="shared" si="10"/>
        <v>2157814.7590502887</v>
      </c>
      <c r="CB5" s="105">
        <f t="shared" si="10"/>
        <v>2157814.7590502887</v>
      </c>
      <c r="CC5" s="105">
        <f t="shared" si="10"/>
        <v>2157814.7590502887</v>
      </c>
      <c r="CD5" s="105">
        <f t="shared" si="10"/>
        <v>2157814.7590502887</v>
      </c>
      <c r="CE5" s="105">
        <f t="shared" si="10"/>
        <v>2157814.7590502887</v>
      </c>
      <c r="CF5" s="105">
        <f t="shared" si="10"/>
        <v>2157814.7590502887</v>
      </c>
      <c r="CG5" s="105">
        <f t="shared" si="10"/>
        <v>2157814.7590502887</v>
      </c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</row>
    <row r="6" spans="1:128">
      <c r="A6" s="73" t="s">
        <v>88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>
        <f t="shared" ref="AL6:BQ6" si="11">$B$4*$B$16*$B$12/($B$12-$B$14)</f>
        <v>906282.19880112133</v>
      </c>
      <c r="AM6" s="105">
        <f t="shared" si="11"/>
        <v>906282.19880112133</v>
      </c>
      <c r="AN6" s="105">
        <f t="shared" si="11"/>
        <v>906282.19880112133</v>
      </c>
      <c r="AO6" s="105">
        <f t="shared" si="11"/>
        <v>906282.19880112133</v>
      </c>
      <c r="AP6" s="105">
        <f t="shared" si="11"/>
        <v>906282.19880112133</v>
      </c>
      <c r="AQ6" s="105">
        <f t="shared" si="11"/>
        <v>906282.19880112133</v>
      </c>
      <c r="AR6" s="105">
        <f t="shared" si="11"/>
        <v>906282.19880112133</v>
      </c>
      <c r="AS6" s="105">
        <f t="shared" si="11"/>
        <v>906282.19880112133</v>
      </c>
      <c r="AT6" s="105">
        <f t="shared" si="11"/>
        <v>906282.19880112133</v>
      </c>
      <c r="AU6" s="105">
        <f t="shared" si="11"/>
        <v>906282.19880112133</v>
      </c>
      <c r="AV6" s="105">
        <f t="shared" si="11"/>
        <v>906282.19880112133</v>
      </c>
      <c r="AW6" s="105">
        <f t="shared" si="11"/>
        <v>906282.19880112133</v>
      </c>
      <c r="AX6" s="105">
        <f t="shared" si="11"/>
        <v>906282.19880112133</v>
      </c>
      <c r="AY6" s="105">
        <f t="shared" si="11"/>
        <v>906282.19880112133</v>
      </c>
      <c r="AZ6" s="105">
        <f t="shared" si="11"/>
        <v>906282.19880112133</v>
      </c>
      <c r="BA6" s="105">
        <f t="shared" si="11"/>
        <v>906282.19880112133</v>
      </c>
      <c r="BB6" s="105">
        <f t="shared" si="11"/>
        <v>906282.19880112133</v>
      </c>
      <c r="BC6" s="105">
        <f t="shared" si="11"/>
        <v>906282.19880112133</v>
      </c>
      <c r="BD6" s="105">
        <f t="shared" si="11"/>
        <v>906282.19880112133</v>
      </c>
      <c r="BE6" s="105">
        <f t="shared" si="11"/>
        <v>906282.19880112133</v>
      </c>
      <c r="BF6" s="105">
        <f t="shared" si="11"/>
        <v>906282.19880112133</v>
      </c>
      <c r="BG6" s="105">
        <f t="shared" si="11"/>
        <v>906282.19880112133</v>
      </c>
      <c r="BH6" s="105">
        <f t="shared" si="11"/>
        <v>906282.19880112133</v>
      </c>
      <c r="BI6" s="105">
        <f t="shared" si="11"/>
        <v>906282.19880112133</v>
      </c>
      <c r="BJ6" s="105">
        <f t="shared" si="11"/>
        <v>906282.19880112133</v>
      </c>
      <c r="BK6" s="105">
        <f t="shared" si="11"/>
        <v>906282.19880112133</v>
      </c>
      <c r="BL6" s="105">
        <f t="shared" si="11"/>
        <v>906282.19880112133</v>
      </c>
      <c r="BM6" s="105">
        <f t="shared" si="11"/>
        <v>906282.19880112133</v>
      </c>
      <c r="BN6" s="105">
        <f t="shared" si="11"/>
        <v>906282.19880112133</v>
      </c>
      <c r="BO6" s="105">
        <f t="shared" si="11"/>
        <v>906282.19880112133</v>
      </c>
      <c r="BP6" s="105">
        <f t="shared" si="11"/>
        <v>906282.19880112133</v>
      </c>
      <c r="BQ6" s="105">
        <f t="shared" si="11"/>
        <v>906282.19880112133</v>
      </c>
      <c r="BR6" s="105">
        <f t="shared" ref="BR6:CW6" si="12">$B$4*$B$16*$B$12/($B$12-$B$14)</f>
        <v>906282.19880112133</v>
      </c>
      <c r="BS6" s="105">
        <f t="shared" si="12"/>
        <v>906282.19880112133</v>
      </c>
      <c r="BT6" s="105">
        <f t="shared" si="12"/>
        <v>906282.19880112133</v>
      </c>
      <c r="BU6" s="105">
        <f t="shared" si="12"/>
        <v>906282.19880112133</v>
      </c>
      <c r="BV6" s="105">
        <f t="shared" si="12"/>
        <v>906282.19880112133</v>
      </c>
      <c r="BW6" s="105">
        <f t="shared" si="12"/>
        <v>906282.19880112133</v>
      </c>
      <c r="BX6" s="105">
        <f t="shared" si="12"/>
        <v>906282.19880112133</v>
      </c>
      <c r="BY6" s="105">
        <f t="shared" si="12"/>
        <v>906282.19880112133</v>
      </c>
      <c r="BZ6" s="105">
        <f t="shared" si="12"/>
        <v>906282.19880112133</v>
      </c>
      <c r="CA6" s="105">
        <f t="shared" si="12"/>
        <v>906282.19880112133</v>
      </c>
      <c r="CB6" s="105">
        <f t="shared" si="12"/>
        <v>906282.19880112133</v>
      </c>
      <c r="CC6" s="105">
        <f t="shared" si="12"/>
        <v>906282.19880112133</v>
      </c>
      <c r="CD6" s="105">
        <f t="shared" si="12"/>
        <v>906282.19880112133</v>
      </c>
      <c r="CE6" s="105">
        <f t="shared" si="12"/>
        <v>906282.19880112133</v>
      </c>
      <c r="CF6" s="105">
        <f t="shared" si="12"/>
        <v>906282.19880112133</v>
      </c>
      <c r="CG6" s="105">
        <f t="shared" si="12"/>
        <v>906282.19880112133</v>
      </c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</row>
    <row r="7" spans="1:128" s="100" customFormat="1">
      <c r="A7" s="74" t="s">
        <v>89</v>
      </c>
      <c r="B7" s="142">
        <f t="shared" ref="B7:BM7" si="13">SUM(B5:B6)</f>
        <v>0</v>
      </c>
      <c r="C7" s="142">
        <f t="shared" si="13"/>
        <v>0</v>
      </c>
      <c r="D7" s="142">
        <f t="shared" si="13"/>
        <v>0</v>
      </c>
      <c r="E7" s="142">
        <f t="shared" si="13"/>
        <v>0</v>
      </c>
      <c r="F7" s="142">
        <f t="shared" si="13"/>
        <v>0</v>
      </c>
      <c r="G7" s="142">
        <f t="shared" si="13"/>
        <v>0</v>
      </c>
      <c r="H7" s="142">
        <f t="shared" si="13"/>
        <v>0</v>
      </c>
      <c r="I7" s="142">
        <f t="shared" si="13"/>
        <v>0</v>
      </c>
      <c r="J7" s="142">
        <f t="shared" si="13"/>
        <v>0</v>
      </c>
      <c r="K7" s="142">
        <f t="shared" si="13"/>
        <v>0</v>
      </c>
      <c r="L7" s="142">
        <f t="shared" si="13"/>
        <v>0</v>
      </c>
      <c r="M7" s="142">
        <f t="shared" si="13"/>
        <v>0</v>
      </c>
      <c r="N7" s="142">
        <f t="shared" si="13"/>
        <v>0</v>
      </c>
      <c r="O7" s="142">
        <f t="shared" si="13"/>
        <v>0</v>
      </c>
      <c r="P7" s="142">
        <f t="shared" si="13"/>
        <v>0</v>
      </c>
      <c r="Q7" s="142">
        <f t="shared" si="13"/>
        <v>0</v>
      </c>
      <c r="R7" s="142">
        <f t="shared" si="13"/>
        <v>0</v>
      </c>
      <c r="S7" s="142">
        <f t="shared" si="13"/>
        <v>0</v>
      </c>
      <c r="T7" s="142">
        <f t="shared" si="13"/>
        <v>0</v>
      </c>
      <c r="U7" s="142">
        <f t="shared" si="13"/>
        <v>0</v>
      </c>
      <c r="V7" s="142">
        <f t="shared" si="13"/>
        <v>0</v>
      </c>
      <c r="W7" s="142">
        <f t="shared" si="13"/>
        <v>0</v>
      </c>
      <c r="X7" s="142">
        <f t="shared" si="13"/>
        <v>0</v>
      </c>
      <c r="Y7" s="142">
        <f t="shared" si="13"/>
        <v>0</v>
      </c>
      <c r="Z7" s="142">
        <f t="shared" si="13"/>
        <v>0</v>
      </c>
      <c r="AA7" s="142">
        <f t="shared" si="13"/>
        <v>0</v>
      </c>
      <c r="AB7" s="142">
        <f t="shared" si="13"/>
        <v>0</v>
      </c>
      <c r="AC7" s="142">
        <f t="shared" si="13"/>
        <v>0</v>
      </c>
      <c r="AD7" s="142">
        <f t="shared" si="13"/>
        <v>0</v>
      </c>
      <c r="AE7" s="142">
        <f t="shared" si="13"/>
        <v>0</v>
      </c>
      <c r="AF7" s="142">
        <f t="shared" si="13"/>
        <v>0</v>
      </c>
      <c r="AG7" s="142">
        <f t="shared" si="13"/>
        <v>0</v>
      </c>
      <c r="AH7" s="142">
        <f t="shared" si="13"/>
        <v>0</v>
      </c>
      <c r="AI7" s="142">
        <f t="shared" si="13"/>
        <v>0</v>
      </c>
      <c r="AJ7" s="142">
        <f t="shared" si="13"/>
        <v>0</v>
      </c>
      <c r="AK7" s="142">
        <f t="shared" si="13"/>
        <v>0</v>
      </c>
      <c r="AL7" s="142">
        <f t="shared" si="13"/>
        <v>3064096.9578514099</v>
      </c>
      <c r="AM7" s="142">
        <f t="shared" si="13"/>
        <v>3064096.9578514099</v>
      </c>
      <c r="AN7" s="142">
        <f t="shared" si="13"/>
        <v>3064096.9578514099</v>
      </c>
      <c r="AO7" s="142">
        <f t="shared" si="13"/>
        <v>3064096.9578514099</v>
      </c>
      <c r="AP7" s="142">
        <f t="shared" si="13"/>
        <v>3064096.9578514099</v>
      </c>
      <c r="AQ7" s="142">
        <f t="shared" si="13"/>
        <v>3064096.9578514099</v>
      </c>
      <c r="AR7" s="142">
        <f t="shared" si="13"/>
        <v>3064096.9578514099</v>
      </c>
      <c r="AS7" s="142">
        <f t="shared" si="13"/>
        <v>3064096.9578514099</v>
      </c>
      <c r="AT7" s="142">
        <f t="shared" si="13"/>
        <v>3064096.9578514099</v>
      </c>
      <c r="AU7" s="142">
        <f t="shared" si="13"/>
        <v>3064096.9578514099</v>
      </c>
      <c r="AV7" s="142">
        <f t="shared" si="13"/>
        <v>3064096.9578514099</v>
      </c>
      <c r="AW7" s="142">
        <f t="shared" si="13"/>
        <v>3064096.9578514099</v>
      </c>
      <c r="AX7" s="142">
        <f t="shared" si="13"/>
        <v>3064096.9578514099</v>
      </c>
      <c r="AY7" s="142">
        <f t="shared" si="13"/>
        <v>3064096.9578514099</v>
      </c>
      <c r="AZ7" s="142">
        <f t="shared" si="13"/>
        <v>3064096.9578514099</v>
      </c>
      <c r="BA7" s="142">
        <f t="shared" si="13"/>
        <v>3064096.9578514099</v>
      </c>
      <c r="BB7" s="142">
        <f t="shared" si="13"/>
        <v>3064096.9578514099</v>
      </c>
      <c r="BC7" s="142">
        <f t="shared" si="13"/>
        <v>3064096.9578514099</v>
      </c>
      <c r="BD7" s="142">
        <f t="shared" si="13"/>
        <v>3064096.9578514099</v>
      </c>
      <c r="BE7" s="142">
        <f t="shared" si="13"/>
        <v>3064096.9578514099</v>
      </c>
      <c r="BF7" s="142">
        <f t="shared" si="13"/>
        <v>3064096.9578514099</v>
      </c>
      <c r="BG7" s="142">
        <f t="shared" si="13"/>
        <v>3064096.9578514099</v>
      </c>
      <c r="BH7" s="142">
        <f t="shared" si="13"/>
        <v>3064096.9578514099</v>
      </c>
      <c r="BI7" s="142">
        <f t="shared" si="13"/>
        <v>3064096.9578514099</v>
      </c>
      <c r="BJ7" s="142">
        <f t="shared" si="13"/>
        <v>3064096.9578514099</v>
      </c>
      <c r="BK7" s="142">
        <f t="shared" si="13"/>
        <v>3064096.9578514099</v>
      </c>
      <c r="BL7" s="142">
        <f t="shared" si="13"/>
        <v>3064096.9578514099</v>
      </c>
      <c r="BM7" s="142">
        <f t="shared" si="13"/>
        <v>3064096.9578514099</v>
      </c>
      <c r="BN7" s="142">
        <f t="shared" ref="BN7:DX7" si="14">SUM(BN5:BN6)</f>
        <v>3064096.9578514099</v>
      </c>
      <c r="BO7" s="142">
        <f t="shared" si="14"/>
        <v>3064096.9578514099</v>
      </c>
      <c r="BP7" s="142">
        <f t="shared" si="14"/>
        <v>3064096.9578514099</v>
      </c>
      <c r="BQ7" s="142">
        <f t="shared" si="14"/>
        <v>3064096.9578514099</v>
      </c>
      <c r="BR7" s="142">
        <f t="shared" si="14"/>
        <v>3064096.9578514099</v>
      </c>
      <c r="BS7" s="142">
        <f t="shared" si="14"/>
        <v>3064096.9578514099</v>
      </c>
      <c r="BT7" s="142">
        <f t="shared" si="14"/>
        <v>3064096.9578514099</v>
      </c>
      <c r="BU7" s="142">
        <f t="shared" si="14"/>
        <v>3064096.9578514099</v>
      </c>
      <c r="BV7" s="142">
        <f t="shared" si="14"/>
        <v>3064096.9578514099</v>
      </c>
      <c r="BW7" s="142">
        <f t="shared" si="14"/>
        <v>3064096.9578514099</v>
      </c>
      <c r="BX7" s="142">
        <f t="shared" si="14"/>
        <v>3064096.9578514099</v>
      </c>
      <c r="BY7" s="142">
        <f t="shared" si="14"/>
        <v>3064096.9578514099</v>
      </c>
      <c r="BZ7" s="142">
        <f t="shared" si="14"/>
        <v>3064096.9578514099</v>
      </c>
      <c r="CA7" s="142">
        <f t="shared" si="14"/>
        <v>3064096.9578514099</v>
      </c>
      <c r="CB7" s="142">
        <f t="shared" si="14"/>
        <v>3064096.9578514099</v>
      </c>
      <c r="CC7" s="142">
        <f t="shared" si="14"/>
        <v>3064096.9578514099</v>
      </c>
      <c r="CD7" s="142">
        <f t="shared" si="14"/>
        <v>3064096.9578514099</v>
      </c>
      <c r="CE7" s="142">
        <f t="shared" si="14"/>
        <v>3064096.9578514099</v>
      </c>
      <c r="CF7" s="142">
        <f t="shared" si="14"/>
        <v>3064096.9578514099</v>
      </c>
      <c r="CG7" s="142">
        <f t="shared" si="14"/>
        <v>3064096.9578514099</v>
      </c>
      <c r="CH7" s="142">
        <f t="shared" si="14"/>
        <v>0</v>
      </c>
      <c r="CI7" s="142">
        <f t="shared" si="14"/>
        <v>0</v>
      </c>
      <c r="CJ7" s="142">
        <f t="shared" si="14"/>
        <v>0</v>
      </c>
      <c r="CK7" s="142">
        <f t="shared" si="14"/>
        <v>0</v>
      </c>
      <c r="CL7" s="142">
        <f t="shared" si="14"/>
        <v>0</v>
      </c>
      <c r="CM7" s="142">
        <f t="shared" si="14"/>
        <v>0</v>
      </c>
      <c r="CN7" s="142">
        <f t="shared" si="14"/>
        <v>0</v>
      </c>
      <c r="CO7" s="142">
        <f t="shared" si="14"/>
        <v>0</v>
      </c>
      <c r="CP7" s="142">
        <f t="shared" si="14"/>
        <v>0</v>
      </c>
      <c r="CQ7" s="142">
        <f t="shared" si="14"/>
        <v>0</v>
      </c>
      <c r="CR7" s="142">
        <f t="shared" si="14"/>
        <v>0</v>
      </c>
      <c r="CS7" s="142">
        <f t="shared" si="14"/>
        <v>0</v>
      </c>
      <c r="CT7" s="142">
        <f t="shared" si="14"/>
        <v>0</v>
      </c>
      <c r="CU7" s="142">
        <f t="shared" si="14"/>
        <v>0</v>
      </c>
      <c r="CV7" s="142">
        <f t="shared" si="14"/>
        <v>0</v>
      </c>
      <c r="CW7" s="142">
        <f t="shared" si="14"/>
        <v>0</v>
      </c>
      <c r="CX7" s="142">
        <f t="shared" si="14"/>
        <v>0</v>
      </c>
      <c r="CY7" s="142">
        <f t="shared" si="14"/>
        <v>0</v>
      </c>
      <c r="CZ7" s="142">
        <f t="shared" si="14"/>
        <v>0</v>
      </c>
      <c r="DA7" s="142">
        <f t="shared" si="14"/>
        <v>0</v>
      </c>
      <c r="DB7" s="142">
        <f t="shared" si="14"/>
        <v>0</v>
      </c>
      <c r="DC7" s="142">
        <f t="shared" si="14"/>
        <v>0</v>
      </c>
      <c r="DD7" s="142">
        <f t="shared" si="14"/>
        <v>0</v>
      </c>
      <c r="DE7" s="142">
        <f t="shared" si="14"/>
        <v>0</v>
      </c>
      <c r="DF7" s="142">
        <f t="shared" si="14"/>
        <v>0</v>
      </c>
      <c r="DG7" s="142">
        <f t="shared" si="14"/>
        <v>0</v>
      </c>
      <c r="DH7" s="142">
        <f t="shared" si="14"/>
        <v>0</v>
      </c>
      <c r="DI7" s="142">
        <f t="shared" si="14"/>
        <v>0</v>
      </c>
      <c r="DJ7" s="142">
        <f t="shared" si="14"/>
        <v>0</v>
      </c>
      <c r="DK7" s="142">
        <f t="shared" si="14"/>
        <v>0</v>
      </c>
      <c r="DL7" s="142">
        <f t="shared" si="14"/>
        <v>0</v>
      </c>
      <c r="DM7" s="142">
        <f t="shared" si="14"/>
        <v>0</v>
      </c>
      <c r="DN7" s="142">
        <f t="shared" si="14"/>
        <v>0</v>
      </c>
      <c r="DO7" s="142">
        <f t="shared" si="14"/>
        <v>0</v>
      </c>
      <c r="DP7" s="142">
        <f t="shared" si="14"/>
        <v>0</v>
      </c>
      <c r="DQ7" s="142">
        <f t="shared" si="14"/>
        <v>0</v>
      </c>
      <c r="DR7" s="142">
        <f t="shared" si="14"/>
        <v>0</v>
      </c>
      <c r="DS7" s="142">
        <f t="shared" si="14"/>
        <v>0</v>
      </c>
      <c r="DT7" s="142">
        <f t="shared" si="14"/>
        <v>0</v>
      </c>
      <c r="DU7" s="142">
        <f t="shared" si="14"/>
        <v>0</v>
      </c>
      <c r="DV7" s="142">
        <f t="shared" si="14"/>
        <v>0</v>
      </c>
      <c r="DW7" s="142">
        <f t="shared" si="14"/>
        <v>0</v>
      </c>
      <c r="DX7" s="142">
        <f t="shared" si="14"/>
        <v>0</v>
      </c>
    </row>
    <row r="10" spans="1:128" ht="15.6" customHeight="1">
      <c r="A10" s="167" t="s">
        <v>290</v>
      </c>
      <c r="B10" s="167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28">
      <c r="A11" s="66" t="s">
        <v>83</v>
      </c>
      <c r="B11" s="105">
        <f>'CapEx и аморт.'!B44</f>
        <v>103575108.43441387</v>
      </c>
      <c r="C11" s="66"/>
      <c r="D11" s="66"/>
      <c r="E11" s="66"/>
      <c r="F11" s="66"/>
      <c r="G11" s="66"/>
      <c r="H11" s="66"/>
      <c r="I11" s="66"/>
      <c r="J11" s="66"/>
      <c r="L11" s="68"/>
    </row>
    <row r="12" spans="1:128">
      <c r="A12" s="66" t="s">
        <v>112</v>
      </c>
      <c r="B12" s="67">
        <v>84</v>
      </c>
      <c r="C12" s="66"/>
      <c r="D12" s="66"/>
      <c r="E12" s="66"/>
      <c r="F12" s="66"/>
      <c r="G12" s="66"/>
      <c r="H12" s="66"/>
      <c r="I12" s="66"/>
      <c r="J12" s="66"/>
    </row>
    <row r="13" spans="1:128">
      <c r="A13" s="70" t="s">
        <v>113</v>
      </c>
      <c r="B13" s="67">
        <v>36</v>
      </c>
      <c r="C13" s="70"/>
      <c r="D13" s="70"/>
      <c r="E13" s="70"/>
      <c r="F13" s="70"/>
      <c r="G13" s="70"/>
      <c r="H13" s="70"/>
      <c r="I13" s="70"/>
      <c r="J13" s="70"/>
    </row>
    <row r="14" spans="1:128">
      <c r="A14" s="70" t="s">
        <v>114</v>
      </c>
      <c r="B14" s="67">
        <v>36</v>
      </c>
      <c r="C14" s="70"/>
      <c r="D14" s="70"/>
      <c r="E14" s="70"/>
      <c r="F14" s="70"/>
      <c r="G14" s="70"/>
      <c r="H14" s="70"/>
      <c r="I14" s="70"/>
      <c r="J14" s="70"/>
    </row>
    <row r="15" spans="1:128">
      <c r="A15" s="66" t="s">
        <v>84</v>
      </c>
      <c r="B15" s="71">
        <f>Предпосылки!B21</f>
        <v>0.06</v>
      </c>
      <c r="C15" s="66"/>
      <c r="D15" s="66"/>
      <c r="E15" s="66"/>
      <c r="F15" s="66"/>
      <c r="G15" s="66"/>
      <c r="H15" s="66"/>
      <c r="I15" s="66"/>
      <c r="J15" s="66"/>
    </row>
    <row r="16" spans="1:128">
      <c r="A16" s="66" t="s">
        <v>85</v>
      </c>
      <c r="B16" s="71">
        <f>B15/12</f>
        <v>5.0000000000000001E-3</v>
      </c>
      <c r="C16" s="66"/>
      <c r="D16" s="66"/>
      <c r="E16" s="66"/>
      <c r="F16" s="66"/>
      <c r="G16" s="66"/>
      <c r="H16" s="66"/>
      <c r="I16" s="66"/>
      <c r="J16" s="66"/>
    </row>
    <row r="17" spans="1:12">
      <c r="K17" s="72"/>
    </row>
    <row r="18" spans="1:12">
      <c r="A18" s="69" t="s">
        <v>302</v>
      </c>
      <c r="B18" s="129">
        <f>'CapEx и аморт.'!D39/Кредит!B11</f>
        <v>0.14463882042801376</v>
      </c>
    </row>
    <row r="20" spans="1:12" ht="15.6">
      <c r="A20" s="130" t="s">
        <v>303</v>
      </c>
      <c r="B20" s="131">
        <v>6</v>
      </c>
      <c r="C20" s="131">
        <v>7</v>
      </c>
      <c r="D20" s="131">
        <v>8</v>
      </c>
      <c r="E20" s="131">
        <v>9</v>
      </c>
      <c r="F20" s="131">
        <v>10</v>
      </c>
      <c r="G20" s="131"/>
    </row>
    <row r="21" spans="1:12">
      <c r="A21" s="132" t="s">
        <v>304</v>
      </c>
      <c r="B21" s="132">
        <f>Предпосылки!B1</f>
        <v>2023</v>
      </c>
      <c r="C21" s="132">
        <f>Предпосылки!C1</f>
        <v>2024</v>
      </c>
      <c r="D21" s="132">
        <f>Предпосылки!D1</f>
        <v>2025</v>
      </c>
      <c r="E21" s="132">
        <f>Предпосылки!E1</f>
        <v>2026</v>
      </c>
      <c r="F21" s="132">
        <f>Предпосылки!F1</f>
        <v>2027</v>
      </c>
      <c r="G21" s="132">
        <f>Предпосылки!G1</f>
        <v>2028</v>
      </c>
      <c r="H21" s="132">
        <f>Предпосылки!H1</f>
        <v>2029</v>
      </c>
      <c r="I21" s="132">
        <f>Предпосылки!I1</f>
        <v>2030</v>
      </c>
      <c r="J21" s="132">
        <f>Предпосылки!J1</f>
        <v>2031</v>
      </c>
      <c r="K21" s="132">
        <f>Предпосылки!K1</f>
        <v>2032</v>
      </c>
      <c r="L21" s="132">
        <f>Предпосылки!L1</f>
        <v>2033</v>
      </c>
    </row>
    <row r="22" spans="1:12">
      <c r="A22" s="73" t="s">
        <v>86</v>
      </c>
      <c r="B22" s="105">
        <v>0</v>
      </c>
      <c r="C22" s="105">
        <f>B22+B23-B24</f>
        <v>103575108.43441387</v>
      </c>
      <c r="D22" s="105">
        <f t="shared" ref="D22:L22" si="15">C22-C24</f>
        <v>103575108.43441387</v>
      </c>
      <c r="E22" s="105">
        <f t="shared" si="15"/>
        <v>103575108.43441387</v>
      </c>
      <c r="F22" s="105">
        <f t="shared" si="15"/>
        <v>88470405.121061847</v>
      </c>
      <c r="G22" s="105">
        <f t="shared" si="15"/>
        <v>62576628.012458384</v>
      </c>
      <c r="H22" s="105">
        <f t="shared" si="15"/>
        <v>36682850.903854921</v>
      </c>
      <c r="I22" s="105">
        <f t="shared" si="15"/>
        <v>10789073.795251463</v>
      </c>
      <c r="J22" s="105">
        <f t="shared" si="15"/>
        <v>1.862645149230957E-8</v>
      </c>
      <c r="K22" s="105">
        <f t="shared" si="15"/>
        <v>1.862645149230957E-8</v>
      </c>
      <c r="L22" s="105">
        <f t="shared" si="15"/>
        <v>1.862645149230957E-8</v>
      </c>
    </row>
    <row r="23" spans="1:12">
      <c r="A23" s="73" t="s">
        <v>103</v>
      </c>
      <c r="B23" s="105">
        <f>SUMIF($B$1:$DX$1,B21,$B$4:$DX$4)</f>
        <v>103575108.43441387</v>
      </c>
      <c r="C23" s="105">
        <f t="shared" ref="C23:L23" si="16">SUMIF($B$1:$DX$1,C21,$B$4:$DX$4)</f>
        <v>0</v>
      </c>
      <c r="D23" s="105">
        <f t="shared" si="16"/>
        <v>0</v>
      </c>
      <c r="E23" s="105">
        <f t="shared" si="16"/>
        <v>0</v>
      </c>
      <c r="F23" s="105">
        <f t="shared" si="16"/>
        <v>0</v>
      </c>
      <c r="G23" s="105">
        <f t="shared" si="16"/>
        <v>0</v>
      </c>
      <c r="H23" s="105">
        <f t="shared" si="16"/>
        <v>0</v>
      </c>
      <c r="I23" s="105">
        <f t="shared" si="16"/>
        <v>0</v>
      </c>
      <c r="J23" s="105">
        <f t="shared" si="16"/>
        <v>0</v>
      </c>
      <c r="K23" s="105">
        <f t="shared" si="16"/>
        <v>0</v>
      </c>
      <c r="L23" s="105">
        <f t="shared" si="16"/>
        <v>0</v>
      </c>
    </row>
    <row r="24" spans="1:12">
      <c r="A24" s="73" t="s">
        <v>87</v>
      </c>
      <c r="B24" s="105">
        <f>SUMIF($B$1:$DX$1,B21,$B$5:$DX$5)</f>
        <v>0</v>
      </c>
      <c r="C24" s="105">
        <f t="shared" ref="C24:L24" si="17">SUMIF($B$1:$DX$1,C21,$B$5:$DX$5)</f>
        <v>0</v>
      </c>
      <c r="D24" s="105">
        <f t="shared" si="17"/>
        <v>0</v>
      </c>
      <c r="E24" s="105">
        <f t="shared" si="17"/>
        <v>15104703.313352022</v>
      </c>
      <c r="F24" s="105">
        <f t="shared" si="17"/>
        <v>25893777.108603459</v>
      </c>
      <c r="G24" s="105">
        <f t="shared" si="17"/>
        <v>25893777.108603459</v>
      </c>
      <c r="H24" s="105">
        <f t="shared" si="17"/>
        <v>25893777.108603459</v>
      </c>
      <c r="I24" s="105">
        <f t="shared" si="17"/>
        <v>10789073.795251444</v>
      </c>
      <c r="J24" s="105">
        <f t="shared" si="17"/>
        <v>0</v>
      </c>
      <c r="K24" s="105">
        <f t="shared" si="17"/>
        <v>0</v>
      </c>
      <c r="L24" s="105">
        <f t="shared" si="17"/>
        <v>0</v>
      </c>
    </row>
    <row r="25" spans="1:12">
      <c r="A25" s="73" t="s">
        <v>88</v>
      </c>
      <c r="B25" s="105">
        <f>SUMIF($B$1:$DX$1,B21,$B$6:$DX$6)</f>
        <v>0</v>
      </c>
      <c r="C25" s="105">
        <f t="shared" ref="C25:L25" si="18">SUMIF($B$1:$DX$1,C21,$B$6:$DX$6)</f>
        <v>0</v>
      </c>
      <c r="D25" s="105">
        <f t="shared" si="18"/>
        <v>0</v>
      </c>
      <c r="E25" s="105">
        <f t="shared" si="18"/>
        <v>6343975.3916078499</v>
      </c>
      <c r="F25" s="105">
        <f t="shared" si="18"/>
        <v>10875386.385613456</v>
      </c>
      <c r="G25" s="105">
        <f t="shared" si="18"/>
        <v>10875386.385613456</v>
      </c>
      <c r="H25" s="105">
        <f t="shared" si="18"/>
        <v>10875386.385613456</v>
      </c>
      <c r="I25" s="105">
        <f t="shared" si="18"/>
        <v>4531410.9940056065</v>
      </c>
      <c r="J25" s="105">
        <f t="shared" si="18"/>
        <v>0</v>
      </c>
      <c r="K25" s="105">
        <f t="shared" si="18"/>
        <v>0</v>
      </c>
      <c r="L25" s="105">
        <f t="shared" si="18"/>
        <v>0</v>
      </c>
    </row>
    <row r="26" spans="1:12">
      <c r="A26" s="74" t="s">
        <v>89</v>
      </c>
      <c r="B26" s="142">
        <f>SUM(B24:B25)</f>
        <v>0</v>
      </c>
      <c r="C26" s="142">
        <f>SUM(C24:C25)</f>
        <v>0</v>
      </c>
      <c r="D26" s="142">
        <f>SUM(D24:D25)</f>
        <v>0</v>
      </c>
      <c r="E26" s="142">
        <f>SUM(E24:E25)</f>
        <v>21448678.704959873</v>
      </c>
      <c r="F26" s="142">
        <f t="shared" ref="F26:L26" si="19">SUM(F24:F25)</f>
        <v>36769163.494216919</v>
      </c>
      <c r="G26" s="142">
        <f t="shared" si="19"/>
        <v>36769163.494216919</v>
      </c>
      <c r="H26" s="142">
        <f t="shared" si="19"/>
        <v>36769163.494216919</v>
      </c>
      <c r="I26" s="142">
        <f t="shared" si="19"/>
        <v>15320484.78925705</v>
      </c>
      <c r="J26" s="142">
        <f t="shared" si="19"/>
        <v>0</v>
      </c>
      <c r="K26" s="142">
        <f t="shared" si="19"/>
        <v>0</v>
      </c>
      <c r="L26" s="142">
        <f t="shared" si="19"/>
        <v>0</v>
      </c>
    </row>
  </sheetData>
  <mergeCells count="2">
    <mergeCell ref="A1:A2"/>
    <mergeCell ref="A10:B10"/>
  </mergeCells>
  <phoneticPr fontId="10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0D740-2554-43D7-8783-807EAFBE22F4}">
  <dimension ref="A1:F30"/>
  <sheetViews>
    <sheetView zoomScaleNormal="100" workbookViewId="0">
      <selection activeCell="B3" sqref="B3:F3"/>
    </sheetView>
  </sheetViews>
  <sheetFormatPr defaultColWidth="9" defaultRowHeight="14.4"/>
  <cols>
    <col min="1" max="1" width="4.109375" bestFit="1" customWidth="1"/>
    <col min="2" max="2" width="32.5546875" bestFit="1" customWidth="1"/>
    <col min="3" max="3" width="11.5546875" bestFit="1" customWidth="1"/>
    <col min="4" max="4" width="13.21875" bestFit="1" customWidth="1"/>
    <col min="5" max="5" width="10.6640625" bestFit="1" customWidth="1"/>
    <col min="6" max="6" width="14.33203125" bestFit="1" customWidth="1"/>
    <col min="7" max="7" width="11.33203125" bestFit="1" customWidth="1"/>
    <col min="8" max="9" width="11.5546875" bestFit="1" customWidth="1"/>
  </cols>
  <sheetData>
    <row r="1" spans="1:6" ht="18">
      <c r="A1" s="168" t="s">
        <v>175</v>
      </c>
      <c r="B1" s="168"/>
      <c r="C1" s="168"/>
      <c r="D1" s="168"/>
      <c r="E1" s="168"/>
      <c r="F1" s="168"/>
    </row>
    <row r="2" spans="1:6" ht="43.2">
      <c r="A2" s="116" t="s">
        <v>176</v>
      </c>
      <c r="B2" s="116" t="s">
        <v>177</v>
      </c>
      <c r="C2" s="116" t="s">
        <v>178</v>
      </c>
      <c r="D2" s="116" t="s">
        <v>179</v>
      </c>
      <c r="E2" s="116" t="s">
        <v>180</v>
      </c>
      <c r="F2" s="116" t="s">
        <v>181</v>
      </c>
    </row>
    <row r="3" spans="1:6" ht="14.4" customHeight="1">
      <c r="B3" s="169" t="s">
        <v>328</v>
      </c>
      <c r="C3" s="169"/>
      <c r="D3" s="169"/>
      <c r="E3" s="169"/>
      <c r="F3" s="170"/>
    </row>
    <row r="4" spans="1:6" ht="14.4" customHeight="1">
      <c r="A4" s="117">
        <v>1</v>
      </c>
      <c r="B4" s="118" t="s">
        <v>322</v>
      </c>
      <c r="C4" s="117">
        <v>1</v>
      </c>
      <c r="D4" s="144">
        <f>5000</f>
        <v>5000</v>
      </c>
      <c r="E4" s="144">
        <f t="shared" ref="E4" si="0">D4*C4</f>
        <v>5000</v>
      </c>
      <c r="F4" s="144">
        <f>E4*12</f>
        <v>60000</v>
      </c>
    </row>
    <row r="5" spans="1:6" ht="14.4" customHeight="1">
      <c r="A5" s="117">
        <v>2</v>
      </c>
      <c r="B5" s="118" t="s">
        <v>323</v>
      </c>
      <c r="C5" s="117">
        <v>1</v>
      </c>
      <c r="D5" s="144">
        <f>3000</f>
        <v>3000</v>
      </c>
      <c r="E5" s="144">
        <f t="shared" ref="E5" si="1">D5*C5</f>
        <v>3000</v>
      </c>
      <c r="F5" s="144">
        <f>E5*12</f>
        <v>36000</v>
      </c>
    </row>
    <row r="6" spans="1:6" ht="14.4" customHeight="1">
      <c r="A6" s="117">
        <v>3</v>
      </c>
      <c r="B6" s="118" t="s">
        <v>324</v>
      </c>
      <c r="C6" s="117">
        <v>1</v>
      </c>
      <c r="D6" s="144">
        <f>3000</f>
        <v>3000</v>
      </c>
      <c r="E6" s="144">
        <f t="shared" ref="E6" si="2">D6*C6</f>
        <v>3000</v>
      </c>
      <c r="F6" s="144">
        <f>E6*12</f>
        <v>36000</v>
      </c>
    </row>
    <row r="7" spans="1:6" ht="14.4" customHeight="1">
      <c r="A7" s="117">
        <v>4</v>
      </c>
      <c r="B7" s="118" t="s">
        <v>325</v>
      </c>
      <c r="C7" s="117">
        <v>1</v>
      </c>
      <c r="D7" s="144">
        <f>3000</f>
        <v>3000</v>
      </c>
      <c r="E7" s="144">
        <f t="shared" ref="E7:E9" si="3">D7*C7</f>
        <v>3000</v>
      </c>
      <c r="F7" s="144">
        <f t="shared" ref="F7:F9" si="4">E7*12</f>
        <v>36000</v>
      </c>
    </row>
    <row r="8" spans="1:6" ht="14.4" customHeight="1">
      <c r="A8" s="117">
        <v>5</v>
      </c>
      <c r="B8" s="118" t="s">
        <v>326</v>
      </c>
      <c r="C8" s="117">
        <v>1</v>
      </c>
      <c r="D8" s="144">
        <f>3000</f>
        <v>3000</v>
      </c>
      <c r="E8" s="144">
        <f t="shared" si="3"/>
        <v>3000</v>
      </c>
      <c r="F8" s="144">
        <f t="shared" si="4"/>
        <v>36000</v>
      </c>
    </row>
    <row r="9" spans="1:6" ht="14.4" customHeight="1">
      <c r="A9" s="117">
        <v>6</v>
      </c>
      <c r="B9" s="118" t="s">
        <v>327</v>
      </c>
      <c r="C9" s="117">
        <v>1</v>
      </c>
      <c r="D9" s="144">
        <f>3000</f>
        <v>3000</v>
      </c>
      <c r="E9" s="144">
        <f t="shared" si="3"/>
        <v>3000</v>
      </c>
      <c r="F9" s="144">
        <f t="shared" si="4"/>
        <v>36000</v>
      </c>
    </row>
    <row r="10" spans="1:6" ht="14.4" customHeight="1">
      <c r="A10" s="117"/>
      <c r="B10" s="169" t="s">
        <v>191</v>
      </c>
      <c r="C10" s="169"/>
      <c r="D10" s="169"/>
      <c r="E10" s="169"/>
      <c r="F10" s="170"/>
    </row>
    <row r="11" spans="1:6" ht="14.4" customHeight="1">
      <c r="A11" s="117">
        <v>7</v>
      </c>
      <c r="B11" s="118" t="s">
        <v>329</v>
      </c>
      <c r="C11" s="117">
        <v>1</v>
      </c>
      <c r="D11" s="144">
        <f>1000</f>
        <v>1000</v>
      </c>
      <c r="E11" s="144">
        <f t="shared" ref="E11:E12" si="5">D11*C11</f>
        <v>1000</v>
      </c>
      <c r="F11" s="144">
        <f t="shared" ref="F11:F12" si="6">E11*12</f>
        <v>12000</v>
      </c>
    </row>
    <row r="12" spans="1:6" ht="14.4" customHeight="1">
      <c r="A12" s="117">
        <v>8</v>
      </c>
      <c r="B12" s="118" t="s">
        <v>184</v>
      </c>
      <c r="C12" s="117">
        <v>3</v>
      </c>
      <c r="D12" s="144">
        <f>700</f>
        <v>700</v>
      </c>
      <c r="E12" s="144">
        <f t="shared" si="5"/>
        <v>2100</v>
      </c>
      <c r="F12" s="144">
        <f t="shared" si="6"/>
        <v>25200</v>
      </c>
    </row>
    <row r="13" spans="1:6" ht="14.4" customHeight="1">
      <c r="A13" s="117">
        <v>9</v>
      </c>
      <c r="B13" s="118" t="s">
        <v>196</v>
      </c>
      <c r="C13" s="117">
        <v>1</v>
      </c>
      <c r="D13" s="144">
        <f>700</f>
        <v>700</v>
      </c>
      <c r="E13" s="144">
        <f t="shared" ref="E13:E16" si="7">D13*C13</f>
        <v>700</v>
      </c>
      <c r="F13" s="144">
        <f t="shared" ref="F13:F16" si="8">E13*12</f>
        <v>8400</v>
      </c>
    </row>
    <row r="14" spans="1:6" ht="14.4" customHeight="1">
      <c r="A14" s="117">
        <v>10</v>
      </c>
      <c r="B14" s="118" t="s">
        <v>197</v>
      </c>
      <c r="C14" s="117">
        <v>1</v>
      </c>
      <c r="D14" s="144">
        <f>700</f>
        <v>700</v>
      </c>
      <c r="E14" s="144">
        <f t="shared" si="7"/>
        <v>700</v>
      </c>
      <c r="F14" s="144">
        <f t="shared" si="8"/>
        <v>8400</v>
      </c>
    </row>
    <row r="15" spans="1:6">
      <c r="A15" s="117">
        <v>11</v>
      </c>
      <c r="B15" s="118" t="s">
        <v>185</v>
      </c>
      <c r="C15" s="117">
        <v>5</v>
      </c>
      <c r="D15" s="144">
        <f>700</f>
        <v>700</v>
      </c>
      <c r="E15" s="144">
        <f t="shared" si="7"/>
        <v>3500</v>
      </c>
      <c r="F15" s="144">
        <f t="shared" si="8"/>
        <v>42000</v>
      </c>
    </row>
    <row r="16" spans="1:6">
      <c r="A16" s="117">
        <v>12</v>
      </c>
      <c r="B16" s="118" t="s">
        <v>330</v>
      </c>
      <c r="C16" s="122">
        <v>1</v>
      </c>
      <c r="D16" s="145">
        <f>700</f>
        <v>700</v>
      </c>
      <c r="E16" s="144">
        <f t="shared" si="7"/>
        <v>700</v>
      </c>
      <c r="F16" s="144">
        <f t="shared" si="8"/>
        <v>8400</v>
      </c>
    </row>
    <row r="17" spans="1:6" ht="14.4" customHeight="1">
      <c r="A17" s="117"/>
      <c r="B17" s="169" t="s">
        <v>192</v>
      </c>
      <c r="C17" s="169"/>
      <c r="D17" s="169"/>
      <c r="E17" s="169"/>
      <c r="F17" s="170"/>
    </row>
    <row r="18" spans="1:6" ht="14.4" customHeight="1">
      <c r="A18" s="117">
        <v>13</v>
      </c>
      <c r="B18" s="118" t="s">
        <v>189</v>
      </c>
      <c r="C18" s="117">
        <v>1</v>
      </c>
      <c r="D18" s="144">
        <f>1500</f>
        <v>1500</v>
      </c>
      <c r="E18" s="144">
        <f>D18*C18</f>
        <v>1500</v>
      </c>
      <c r="F18" s="144">
        <f t="shared" ref="F18:F25" si="9">E18*12</f>
        <v>18000</v>
      </c>
    </row>
    <row r="19" spans="1:6" ht="14.4" customHeight="1">
      <c r="A19" s="117">
        <v>14</v>
      </c>
      <c r="B19" s="118" t="s">
        <v>183</v>
      </c>
      <c r="C19" s="117">
        <v>1</v>
      </c>
      <c r="D19" s="144">
        <f>1000</f>
        <v>1000</v>
      </c>
      <c r="E19" s="144">
        <f>D19*C19</f>
        <v>1000</v>
      </c>
      <c r="F19" s="144">
        <f t="shared" si="9"/>
        <v>12000</v>
      </c>
    </row>
    <row r="20" spans="1:6" ht="14.4" customHeight="1">
      <c r="A20" s="117">
        <v>15</v>
      </c>
      <c r="B20" s="118" t="s">
        <v>190</v>
      </c>
      <c r="C20" s="117">
        <v>1</v>
      </c>
      <c r="D20" s="144">
        <f>1500</f>
        <v>1500</v>
      </c>
      <c r="E20" s="144">
        <f>D20*C20</f>
        <v>1500</v>
      </c>
      <c r="F20" s="144">
        <f t="shared" si="9"/>
        <v>18000</v>
      </c>
    </row>
    <row r="21" spans="1:6" ht="14.4" customHeight="1">
      <c r="A21" s="117">
        <v>16</v>
      </c>
      <c r="B21" s="118" t="s">
        <v>182</v>
      </c>
      <c r="C21" s="117">
        <v>1</v>
      </c>
      <c r="D21" s="144">
        <f>700</f>
        <v>700</v>
      </c>
      <c r="E21" s="144">
        <f t="shared" ref="E21:E29" si="10">D21*C21</f>
        <v>700</v>
      </c>
      <c r="F21" s="144">
        <f t="shared" si="9"/>
        <v>8400</v>
      </c>
    </row>
    <row r="22" spans="1:6" ht="28.8">
      <c r="A22" s="117">
        <v>17</v>
      </c>
      <c r="B22" s="118" t="s">
        <v>194</v>
      </c>
      <c r="C22" s="117">
        <v>5</v>
      </c>
      <c r="D22" s="144">
        <f>500</f>
        <v>500</v>
      </c>
      <c r="E22" s="144">
        <f t="shared" si="10"/>
        <v>2500</v>
      </c>
      <c r="F22" s="144">
        <f t="shared" si="9"/>
        <v>30000</v>
      </c>
    </row>
    <row r="23" spans="1:6">
      <c r="A23" s="117">
        <v>18</v>
      </c>
      <c r="B23" s="118" t="s">
        <v>331</v>
      </c>
      <c r="C23" s="117">
        <v>1</v>
      </c>
      <c r="D23" s="144">
        <f>500</f>
        <v>500</v>
      </c>
      <c r="E23" s="144">
        <f t="shared" si="10"/>
        <v>500</v>
      </c>
      <c r="F23" s="144">
        <f t="shared" si="9"/>
        <v>6000</v>
      </c>
    </row>
    <row r="24" spans="1:6">
      <c r="A24" s="117">
        <v>19</v>
      </c>
      <c r="B24" s="118" t="s">
        <v>195</v>
      </c>
      <c r="C24" s="117">
        <v>10</v>
      </c>
      <c r="D24" s="144">
        <f>400</f>
        <v>400</v>
      </c>
      <c r="E24" s="144">
        <f t="shared" si="10"/>
        <v>4000</v>
      </c>
      <c r="F24" s="144">
        <f t="shared" si="9"/>
        <v>48000</v>
      </c>
    </row>
    <row r="25" spans="1:6">
      <c r="A25" s="117">
        <v>20</v>
      </c>
      <c r="B25" s="118" t="s">
        <v>198</v>
      </c>
      <c r="C25" s="117">
        <v>10</v>
      </c>
      <c r="D25" s="144">
        <f>400</f>
        <v>400</v>
      </c>
      <c r="E25" s="144">
        <f>D25*C25</f>
        <v>4000</v>
      </c>
      <c r="F25" s="144">
        <f t="shared" si="9"/>
        <v>48000</v>
      </c>
    </row>
    <row r="26" spans="1:6" ht="14.4" customHeight="1">
      <c r="A26" s="117"/>
      <c r="B26" s="171" t="s">
        <v>193</v>
      </c>
      <c r="C26" s="169"/>
      <c r="D26" s="169"/>
      <c r="E26" s="169"/>
      <c r="F26" s="170"/>
    </row>
    <row r="27" spans="1:6">
      <c r="A27" s="117">
        <v>21</v>
      </c>
      <c r="B27" s="118" t="s">
        <v>186</v>
      </c>
      <c r="C27" s="117">
        <v>7</v>
      </c>
      <c r="D27" s="144">
        <f>500</f>
        <v>500</v>
      </c>
      <c r="E27" s="144">
        <f t="shared" si="10"/>
        <v>3500</v>
      </c>
      <c r="F27" s="144">
        <f>E27*12</f>
        <v>42000</v>
      </c>
    </row>
    <row r="28" spans="1:6">
      <c r="A28" s="117">
        <v>22</v>
      </c>
      <c r="B28" s="118" t="s">
        <v>187</v>
      </c>
      <c r="C28" s="117">
        <f>3*3</f>
        <v>9</v>
      </c>
      <c r="D28" s="144">
        <f>350</f>
        <v>350</v>
      </c>
      <c r="E28" s="144">
        <f t="shared" si="10"/>
        <v>3150</v>
      </c>
      <c r="F28" s="144">
        <f>E28*12</f>
        <v>37800</v>
      </c>
    </row>
    <row r="29" spans="1:6">
      <c r="A29" s="117">
        <v>23</v>
      </c>
      <c r="B29" s="118" t="s">
        <v>188</v>
      </c>
      <c r="C29" s="117">
        <v>3</v>
      </c>
      <c r="D29" s="144">
        <f>300</f>
        <v>300</v>
      </c>
      <c r="E29" s="144">
        <f t="shared" si="10"/>
        <v>900</v>
      </c>
      <c r="F29" s="144">
        <f>E29*12</f>
        <v>10800</v>
      </c>
    </row>
    <row r="30" spans="1:6" s="121" customFormat="1">
      <c r="A30" s="119"/>
      <c r="B30" s="123" t="s">
        <v>27</v>
      </c>
      <c r="C30" s="119">
        <f>SUM(C4:C29)</f>
        <v>67</v>
      </c>
      <c r="D30" s="120" t="s">
        <v>26</v>
      </c>
      <c r="E30" s="146">
        <f>SUM(E4:E29)</f>
        <v>51950</v>
      </c>
      <c r="F30" s="146">
        <f>E30*12</f>
        <v>623400</v>
      </c>
    </row>
  </sheetData>
  <mergeCells count="5">
    <mergeCell ref="A1:F1"/>
    <mergeCell ref="B3:F3"/>
    <mergeCell ref="B17:F17"/>
    <mergeCell ref="B10:F10"/>
    <mergeCell ref="B26:F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2"/>
  <sheetViews>
    <sheetView topLeftCell="A18" zoomScaleNormal="100" workbookViewId="0">
      <pane xSplit="1" topLeftCell="F1" activePane="topRight" state="frozen"/>
      <selection pane="topRight" activeCell="R36" activeCellId="2" sqref="R26 R30 R36"/>
    </sheetView>
  </sheetViews>
  <sheetFormatPr defaultColWidth="9.109375" defaultRowHeight="14.4"/>
  <cols>
    <col min="1" max="1" width="37" style="2" bestFit="1" customWidth="1"/>
    <col min="2" max="2" width="10.5546875" style="2" bestFit="1" customWidth="1"/>
    <col min="3" max="9" width="11.5546875" style="2" bestFit="1" customWidth="1"/>
    <col min="10" max="10" width="10.88671875" style="2" bestFit="1" customWidth="1"/>
    <col min="11" max="11" width="11.21875" style="2" bestFit="1" customWidth="1"/>
    <col min="12" max="14" width="11.5546875" style="2" bestFit="1" customWidth="1"/>
    <col min="15" max="16" width="11.88671875" style="2" bestFit="1" customWidth="1"/>
    <col min="17" max="17" width="11.77734375" style="2" bestFit="1" customWidth="1"/>
    <col min="18" max="19" width="15.21875" style="2" bestFit="1" customWidth="1"/>
    <col min="20" max="20" width="15.33203125" bestFit="1" customWidth="1"/>
  </cols>
  <sheetData>
    <row r="1" spans="1:20" s="4" customFormat="1" ht="16.5" customHeight="1">
      <c r="A1" s="19" t="s">
        <v>33</v>
      </c>
      <c r="B1" s="113">
        <f>Предпосылки!B1</f>
        <v>2023</v>
      </c>
      <c r="C1" s="113">
        <f>Предпосылки!C1</f>
        <v>2024</v>
      </c>
      <c r="D1" s="113">
        <f>Предпосылки!D1</f>
        <v>2025</v>
      </c>
      <c r="E1" s="113">
        <f>Предпосылки!E1</f>
        <v>2026</v>
      </c>
      <c r="F1" s="113">
        <f>Предпосылки!F1</f>
        <v>2027</v>
      </c>
      <c r="G1" s="113">
        <f>Предпосылки!G1</f>
        <v>2028</v>
      </c>
      <c r="H1" s="113">
        <f>Предпосылки!H1</f>
        <v>2029</v>
      </c>
      <c r="I1" s="113">
        <f>Предпосылки!I1</f>
        <v>2030</v>
      </c>
      <c r="J1" s="113">
        <f>Предпосылки!J1</f>
        <v>2031</v>
      </c>
      <c r="K1" s="113">
        <f>Предпосылки!K1</f>
        <v>2032</v>
      </c>
      <c r="L1" s="113">
        <f>Предпосылки!L1</f>
        <v>2033</v>
      </c>
      <c r="M1" s="113">
        <f>Предпосылки!M1</f>
        <v>2034</v>
      </c>
      <c r="N1" s="113">
        <f>Предпосылки!N1</f>
        <v>2035</v>
      </c>
      <c r="O1" s="113">
        <f>Предпосылки!O1</f>
        <v>2036</v>
      </c>
      <c r="P1" s="113">
        <f>Предпосылки!P1</f>
        <v>2037</v>
      </c>
      <c r="Q1" s="113">
        <f>Предпосылки!Q1</f>
        <v>2038</v>
      </c>
      <c r="R1" s="20" t="s">
        <v>312</v>
      </c>
      <c r="S1" s="20"/>
    </row>
    <row r="2" spans="1:20" s="4" customFormat="1" ht="16.5" customHeight="1">
      <c r="A2" s="114" t="s">
        <v>34</v>
      </c>
      <c r="B2" s="115">
        <v>0</v>
      </c>
      <c r="C2" s="115">
        <v>5</v>
      </c>
      <c r="D2" s="115">
        <v>12</v>
      </c>
      <c r="E2" s="115">
        <v>12</v>
      </c>
      <c r="F2" s="115">
        <v>12</v>
      </c>
      <c r="G2" s="115">
        <v>12</v>
      </c>
      <c r="H2" s="115">
        <v>12</v>
      </c>
      <c r="I2" s="115">
        <v>12</v>
      </c>
      <c r="J2" s="115">
        <v>12</v>
      </c>
      <c r="K2" s="115">
        <v>12</v>
      </c>
      <c r="L2" s="115">
        <v>12</v>
      </c>
      <c r="M2" s="115">
        <v>12</v>
      </c>
      <c r="N2" s="115">
        <v>12</v>
      </c>
      <c r="O2" s="115">
        <v>12</v>
      </c>
      <c r="P2" s="115">
        <v>12</v>
      </c>
      <c r="Q2" s="115">
        <v>12</v>
      </c>
      <c r="R2" s="20"/>
      <c r="S2" s="20"/>
    </row>
    <row r="3" spans="1:20" s="5" customFormat="1">
      <c r="A3" s="1" t="s">
        <v>35</v>
      </c>
      <c r="B3" s="147">
        <f>SUM(B4:B7)+B9+B10+B11+B12</f>
        <v>0</v>
      </c>
      <c r="C3" s="147">
        <f>SUM(C4:C7)+C9+C10+C11+C12</f>
        <v>667078.73716241913</v>
      </c>
      <c r="D3" s="147">
        <f>SUM(D4:D7)+D9+D10+D11+D12</f>
        <v>47448442.604654744</v>
      </c>
      <c r="E3" s="147">
        <f t="shared" ref="E3:Q3" si="0">SUM(E4:E7)+E9+E10+E11+E12</f>
        <v>28205793.43073611</v>
      </c>
      <c r="F3" s="147">
        <f t="shared" si="0"/>
        <v>29767417.949071139</v>
      </c>
      <c r="G3" s="147">
        <f t="shared" si="0"/>
        <v>31404625.936270054</v>
      </c>
      <c r="H3" s="147">
        <f t="shared" si="0"/>
        <v>33131880.36276491</v>
      </c>
      <c r="I3" s="147">
        <f t="shared" si="0"/>
        <v>34954133.782716967</v>
      </c>
      <c r="J3" s="147">
        <f t="shared" si="0"/>
        <v>36876611.140766412</v>
      </c>
      <c r="K3" s="147">
        <f t="shared" si="0"/>
        <v>38904824.753508553</v>
      </c>
      <c r="L3" s="147">
        <f t="shared" si="0"/>
        <v>41044590.114951521</v>
      </c>
      <c r="M3" s="147">
        <f t="shared" si="0"/>
        <v>43302042.571273856</v>
      </c>
      <c r="N3" s="147">
        <f t="shared" si="0"/>
        <v>42644663.161255866</v>
      </c>
      <c r="O3" s="147">
        <f t="shared" si="0"/>
        <v>44756956.020353511</v>
      </c>
      <c r="P3" s="147">
        <f t="shared" si="0"/>
        <v>46985424.986701533</v>
      </c>
      <c r="Q3" s="147">
        <f t="shared" si="0"/>
        <v>49336459.746198684</v>
      </c>
      <c r="R3" s="157">
        <f t="shared" ref="R3:R12" si="1">SUM(B3:Q3)</f>
        <v>549430945.29838634</v>
      </c>
      <c r="S3" s="59"/>
    </row>
    <row r="4" spans="1:20">
      <c r="A4" s="89" t="s">
        <v>165</v>
      </c>
      <c r="B4" s="148">
        <f>SUMIF(Операции!$B$1:$FO$1,ОПиУ!B1,Операции!$B$40:$FO$40)</f>
        <v>0</v>
      </c>
      <c r="C4" s="148">
        <f>SUMIF(Операции!$B$1:$FO$1,ОПиУ!C1,Операции!$B$40:$FO$40)</f>
        <v>0</v>
      </c>
      <c r="D4" s="148">
        <f>SUMIF(Операции!$B$1:$FO$1,ОПиУ!D1,Операции!$B$40:$FO$40)</f>
        <v>16368551.111979445</v>
      </c>
      <c r="E4" s="148">
        <f>SUMIF(Операции!$B$1:$FO$1,ОПиУ!E1,Операции!$B$40:$FO$40)</f>
        <v>13623602.41362481</v>
      </c>
      <c r="F4" s="148">
        <f>SUMIF(Операции!$B$1:$FO$1,ОПиУ!F1,Операции!$B$40:$FO$40)</f>
        <v>14372900.546374172</v>
      </c>
      <c r="G4" s="148">
        <f>SUMIF(Операции!$B$1:$FO$1,ОПиУ!G1,Операции!$B$40:$FO$40)</f>
        <v>15163410.076424751</v>
      </c>
      <c r="H4" s="148">
        <f>SUMIF(Операции!$B$1:$FO$1,ОПиУ!H1,Операции!$B$40:$FO$40)</f>
        <v>15997397.630628113</v>
      </c>
      <c r="I4" s="148">
        <f>SUMIF(Операции!$B$1:$FO$1,ОПиУ!I1,Операции!$B$40:$FO$40)</f>
        <v>16877254.500312656</v>
      </c>
      <c r="J4" s="148">
        <f>SUMIF(Операции!$B$1:$FO$1,ОПиУ!J1,Операции!$B$40:$FO$40)</f>
        <v>17805503.497829854</v>
      </c>
      <c r="K4" s="148">
        <f>SUMIF(Операции!$B$1:$FO$1,ОПиУ!K1,Операции!$B$40:$FO$40)</f>
        <v>18784806.190210491</v>
      </c>
      <c r="L4" s="148">
        <f>SUMIF(Операции!$B$1:$FO$1,ОПиУ!L1,Операции!$B$40:$FO$40)</f>
        <v>19817970.53067207</v>
      </c>
      <c r="M4" s="148">
        <f>SUMIF(Операции!$B$1:$FO$1,ОПиУ!M1,Операции!$B$40:$FO$40)</f>
        <v>20907958.909859031</v>
      </c>
      <c r="N4" s="148">
        <f>SUMIF(Операции!$B$1:$FO$1,ОПиУ!N1,Операции!$B$40:$FO$40)</f>
        <v>22057896.649901278</v>
      </c>
      <c r="O4" s="148">
        <f>SUMIF(Операции!$B$1:$FO$1,ОПиУ!O1,Операции!$B$40:$FO$40)</f>
        <v>23271080.965645846</v>
      </c>
      <c r="P4" s="148">
        <f>SUMIF(Операции!$B$1:$FO$1,ОПиУ!P1,Операции!$B$40:$FO$40)</f>
        <v>24550990.41875637</v>
      </c>
      <c r="Q4" s="148">
        <f>SUMIF(Операции!$B$1:$FO$1,ОПиУ!Q1,Операции!$B$40:$FO$40)</f>
        <v>25901294.891787965</v>
      </c>
      <c r="R4" s="152">
        <f t="shared" si="1"/>
        <v>265500618.33400685</v>
      </c>
      <c r="S4" s="46"/>
      <c r="T4" s="56"/>
    </row>
    <row r="5" spans="1:20">
      <c r="A5" s="89" t="s">
        <v>166</v>
      </c>
      <c r="B5" s="148">
        <f>SUMIF(Операции!$B$1:$FO$1,ОПиУ!B1,Операции!$B$41:$FO$41)</f>
        <v>0</v>
      </c>
      <c r="C5" s="148">
        <f>SUMIF(Операции!$B$1:$FO$1,ОПиУ!C1,Операции!$B$41:$FO$41)</f>
        <v>0</v>
      </c>
      <c r="D5" s="148">
        <f>SUMIF(Операции!$B$1:$FO$1,ОПиУ!D1,Операции!$B$41:$FO$41)</f>
        <v>4344801.054133621</v>
      </c>
      <c r="E5" s="148">
        <f>SUMIF(Операции!$B$1:$FO$1,ОПиУ!E1,Операции!$B$41:$FO$41)</f>
        <v>3594678.6558183911</v>
      </c>
      <c r="F5" s="148">
        <f>SUMIF(Операции!$B$1:$FO$1,ОПиУ!F1,Операции!$B$41:$FO$41)</f>
        <v>3792385.9818884023</v>
      </c>
      <c r="G5" s="148">
        <f>SUMIF(Операции!$B$1:$FO$1,ОПиУ!G1,Операции!$B$41:$FO$41)</f>
        <v>4000967.2108922638</v>
      </c>
      <c r="H5" s="148">
        <f>SUMIF(Операции!$B$1:$FO$1,ОПиУ!H1,Операции!$B$41:$FO$41)</f>
        <v>4221020.4074913384</v>
      </c>
      <c r="I5" s="148">
        <f>SUMIF(Операции!$B$1:$FO$1,ОПиУ!I1,Операции!$B$41:$FO$41)</f>
        <v>4453176.5299033616</v>
      </c>
      <c r="J5" s="148">
        <f>SUMIF(Операции!$B$1:$FO$1,ОПиУ!J1,Операции!$B$41:$FO$41)</f>
        <v>4698101.2390480461</v>
      </c>
      <c r="K5" s="148">
        <f>SUMIF(Операции!$B$1:$FO$1,ОПиУ!K1,Операции!$B$41:$FO$41)</f>
        <v>4956496.8071956895</v>
      </c>
      <c r="L5" s="148">
        <f>SUMIF(Операции!$B$1:$FO$1,ОПиУ!L1,Операции!$B$41:$FO$41)</f>
        <v>5229104.1315914504</v>
      </c>
      <c r="M5" s="148">
        <f>SUMIF(Операции!$B$1:$FO$1,ОПиУ!M1,Операции!$B$41:$FO$41)</f>
        <v>5516704.8588289805</v>
      </c>
      <c r="N5" s="148">
        <f>SUMIF(Операции!$B$1:$FO$1,ОПиУ!N1,Операции!$B$41:$FO$41)</f>
        <v>5820123.6260645753</v>
      </c>
      <c r="O5" s="148">
        <f>SUMIF(Операции!$B$1:$FO$1,ОПиУ!O1,Операции!$B$41:$FO$41)</f>
        <v>6140230.4254981261</v>
      </c>
      <c r="P5" s="148">
        <f>SUMIF(Операции!$B$1:$FO$1,ОПиУ!P1,Операции!$B$41:$FO$41)</f>
        <v>6477943.0989005212</v>
      </c>
      <c r="Q5" s="148">
        <f>SUMIF(Операции!$B$1:$FO$1,ОПиУ!Q1,Операции!$B$41:$FO$41)</f>
        <v>6834229.9693400506</v>
      </c>
      <c r="R5" s="152">
        <f t="shared" si="1"/>
        <v>70079963.996594816</v>
      </c>
      <c r="S5" s="46"/>
      <c r="T5" s="56"/>
    </row>
    <row r="6" spans="1:20">
      <c r="A6" s="89" t="s">
        <v>167</v>
      </c>
      <c r="B6" s="148">
        <f>SUMIF(Операции!$B$1:$FO$1,ОПиУ!B1,Операции!$B$42:$FO$42)</f>
        <v>0</v>
      </c>
      <c r="C6" s="148">
        <f>SUMIF(Операции!$B$1:$FO$1,ОПиУ!C1,Операции!$B$42:$FO$42)</f>
        <v>0</v>
      </c>
      <c r="D6" s="148">
        <f>SUMIF(Операции!$B$1:$FO$1,ОПиУ!D1,Операции!$B$42:$FO$42)</f>
        <v>3105827.6468884079</v>
      </c>
      <c r="E6" s="148">
        <f>SUMIF(Операции!$B$1:$FO$1,ОПиУ!E1,Операции!$B$42:$FO$42)</f>
        <v>2607003.3701941683</v>
      </c>
      <c r="F6" s="148">
        <f>SUMIF(Операции!$B$1:$FO$1,ОПиУ!F1,Операции!$B$42:$FO$42)</f>
        <v>2750388.5555548477</v>
      </c>
      <c r="G6" s="148">
        <f>SUMIF(Операции!$B$1:$FO$1,ОПиУ!G1,Операции!$B$42:$FO$42)</f>
        <v>2901659.9261103636</v>
      </c>
      <c r="H6" s="148">
        <f>SUMIF(Операции!$B$1:$FO$1,ОПиУ!H1,Операции!$B$42:$FO$42)</f>
        <v>3061251.2220464335</v>
      </c>
      <c r="I6" s="148">
        <f>SUMIF(Операции!$B$1:$FO$1,ОПиУ!I1,Операции!$B$42:$FO$42)</f>
        <v>3229620.0392589876</v>
      </c>
      <c r="J6" s="148">
        <f>SUMIF(Операции!$B$1:$FO$1,ОПиУ!J1,Операции!$B$42:$FO$42)</f>
        <v>3407249.1414182312</v>
      </c>
      <c r="K6" s="148">
        <f>SUMIF(Операции!$B$1:$FO$1,ОПиУ!K1,Операции!$B$42:$FO$42)</f>
        <v>3594647.844196233</v>
      </c>
      <c r="L6" s="148">
        <f>SUMIF(Операции!$B$1:$FO$1,ОПиУ!L1,Операции!$B$42:$FO$42)</f>
        <v>3792353.4756270261</v>
      </c>
      <c r="M6" s="148">
        <f>SUMIF(Операции!$B$1:$FO$1,ОПиУ!M1,Операции!$B$42:$FO$42)</f>
        <v>4000932.9167865124</v>
      </c>
      <c r="N6" s="148">
        <f>SUMIF(Операции!$B$1:$FO$1,ОПиУ!N1,Операции!$B$42:$FO$42)</f>
        <v>4220984.2272097711</v>
      </c>
      <c r="O6" s="148">
        <f>SUMIF(Операции!$B$1:$FO$1,ОПиУ!O1,Операции!$B$42:$FO$42)</f>
        <v>4453138.3597063068</v>
      </c>
      <c r="P6" s="148">
        <f>SUMIF(Операции!$B$1:$FO$1,ОПиУ!P1,Операции!$B$42:$FO$42)</f>
        <v>4698060.9694901537</v>
      </c>
      <c r="Q6" s="148">
        <f>SUMIF(Операции!$B$1:$FO$1,ОПиУ!Q1,Операции!$B$42:$FO$42)</f>
        <v>4956454.322812112</v>
      </c>
      <c r="R6" s="152">
        <f t="shared" si="1"/>
        <v>50779572.017299555</v>
      </c>
      <c r="S6" s="46"/>
      <c r="T6" s="56"/>
    </row>
    <row r="7" spans="1:20">
      <c r="A7" s="89" t="s">
        <v>168</v>
      </c>
      <c r="B7" s="148">
        <f>SUMIF(Операции!$B$1:$FO$1,ОПиУ!B1,Операции!$B$43:$FO$43)</f>
        <v>0</v>
      </c>
      <c r="C7" s="148">
        <f>SUMIF(Операции!$B$1:$FO$1,ОПиУ!C1,Операции!$B$43:$FO$43)</f>
        <v>0</v>
      </c>
      <c r="D7" s="148">
        <f>SUMIF(Операции!$B$1:$FO$1,ОПиУ!D1,Операции!$B$43:$FO$43)</f>
        <v>2627362.3066920852</v>
      </c>
      <c r="E7" s="148">
        <f>SUMIF(Операции!$B$1:$FO$1,ОПиУ!E1,Операции!$B$43:$FO$43)</f>
        <v>1969608.2730762109</v>
      </c>
      <c r="F7" s="148">
        <f>SUMIF(Операции!$B$1:$FO$1,ОПиУ!F1,Операции!$B$43:$FO$43)</f>
        <v>2077936.7280954027</v>
      </c>
      <c r="G7" s="148">
        <f>SUMIF(Операции!$B$1:$FO$1,ОПиУ!G1,Операции!$B$43:$FO$43)</f>
        <v>2192223.2481406499</v>
      </c>
      <c r="H7" s="148">
        <f>SUMIF(Операции!$B$1:$FO$1,ОПиУ!H1,Операции!$B$43:$FO$43)</f>
        <v>2312795.5267883851</v>
      </c>
      <c r="I7" s="148">
        <f>SUMIF(Операции!$B$1:$FO$1,ОПиУ!I1,Операции!$B$43:$FO$43)</f>
        <v>2439999.2807617462</v>
      </c>
      <c r="J7" s="148">
        <f>SUMIF(Операции!$B$1:$FO$1,ОПиУ!J1,Операции!$B$43:$FO$43)</f>
        <v>2574199.2412036425</v>
      </c>
      <c r="K7" s="148">
        <f>SUMIF(Операции!$B$1:$FO$1,ОПиУ!K1,Операции!$B$43:$FO$43)</f>
        <v>2715780.1994698425</v>
      </c>
      <c r="L7" s="148">
        <f>SUMIF(Операции!$B$1:$FO$1,ОПиУ!L1,Операции!$B$43:$FO$43)</f>
        <v>2865148.1104406831</v>
      </c>
      <c r="M7" s="148">
        <f>SUMIF(Операции!$B$1:$FO$1,ОПиУ!M1,Операции!$B$43:$FO$43)</f>
        <v>3022731.2565149209</v>
      </c>
      <c r="N7" s="148">
        <f>SUMIF(Операции!$B$1:$FO$1,ОПиУ!N1,Операции!$B$43:$FO$43)</f>
        <v>3188981.4756232412</v>
      </c>
      <c r="O7" s="148">
        <f>SUMIF(Операции!$B$1:$FO$1,ОПиУ!O1,Операции!$B$43:$FO$43)</f>
        <v>3364375.4567825194</v>
      </c>
      <c r="P7" s="148">
        <f>SUMIF(Операции!$B$1:$FO$1,ОПиУ!P1,Операции!$B$43:$FO$43)</f>
        <v>3549416.1069055577</v>
      </c>
      <c r="Q7" s="148">
        <f>SUMIF(Операции!$B$1:$FO$1,ОПиУ!Q1,Операции!$B$43:$FO$43)</f>
        <v>3744633.992785363</v>
      </c>
      <c r="R7" s="152">
        <f t="shared" si="1"/>
        <v>38645191.203280255</v>
      </c>
      <c r="S7" s="46"/>
      <c r="T7" s="56"/>
    </row>
    <row r="8" spans="1:20" s="79" customFormat="1">
      <c r="A8" s="77" t="s">
        <v>92</v>
      </c>
      <c r="B8" s="149">
        <f>B3*12/112</f>
        <v>0</v>
      </c>
      <c r="C8" s="149">
        <f t="shared" ref="C8:L8" si="2">C3*12/112</f>
        <v>71472.721838830621</v>
      </c>
      <c r="D8" s="149">
        <f t="shared" si="2"/>
        <v>5083761.7076415801</v>
      </c>
      <c r="E8" s="149">
        <f t="shared" si="2"/>
        <v>3022049.2961502974</v>
      </c>
      <c r="F8" s="149">
        <f t="shared" si="2"/>
        <v>3189366.2088290504</v>
      </c>
      <c r="G8" s="149">
        <f t="shared" si="2"/>
        <v>3364781.3503146484</v>
      </c>
      <c r="H8" s="149">
        <f t="shared" si="2"/>
        <v>3549844.3245819546</v>
      </c>
      <c r="I8" s="149">
        <f t="shared" si="2"/>
        <v>3745085.762433961</v>
      </c>
      <c r="J8" s="149">
        <f t="shared" si="2"/>
        <v>3951065.4793678299</v>
      </c>
      <c r="K8" s="149">
        <f t="shared" si="2"/>
        <v>4168374.0807330594</v>
      </c>
      <c r="L8" s="149">
        <f t="shared" si="2"/>
        <v>4397634.6551733771</v>
      </c>
      <c r="M8" s="149">
        <f>M3*12/112</f>
        <v>4639504.5612079129</v>
      </c>
      <c r="N8" s="149">
        <f>N3*12/112</f>
        <v>4569071.0529917004</v>
      </c>
      <c r="O8" s="149">
        <f>O3*12/112</f>
        <v>4795388.1450378764</v>
      </c>
      <c r="P8" s="149">
        <f>P3*12/112</f>
        <v>5034152.6771465922</v>
      </c>
      <c r="Q8" s="149">
        <f>Q3*12/112</f>
        <v>5286049.2585212877</v>
      </c>
      <c r="R8" s="154">
        <f t="shared" si="1"/>
        <v>58867601.281969965</v>
      </c>
      <c r="S8" s="80"/>
    </row>
    <row r="9" spans="1:20" s="5" customFormat="1">
      <c r="A9" s="1" t="s">
        <v>104</v>
      </c>
      <c r="B9" s="147"/>
      <c r="C9" s="147"/>
      <c r="D9" s="147">
        <f>'CapEx и аморт.'!D39</f>
        <v>14980981.509657241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57">
        <f t="shared" si="1"/>
        <v>14980981.509657241</v>
      </c>
      <c r="S9" s="59"/>
    </row>
    <row r="10" spans="1:20" s="5" customFormat="1">
      <c r="A10" s="1" t="s">
        <v>299</v>
      </c>
      <c r="B10" s="147">
        <f>Предпосылки!$B$51*ОПиУ!B2</f>
        <v>0</v>
      </c>
      <c r="C10" s="147">
        <f>Предпосылки!$B$51*ОПиУ!C2</f>
        <v>518257.89273488015</v>
      </c>
      <c r="D10" s="147">
        <f>Предпосылки!$B$51*ОПиУ!D2*(1+Предпосылки!B6)</f>
        <v>1384121.7192848991</v>
      </c>
      <c r="E10" s="147">
        <f>D10*(1+Предпосылки!C6)</f>
        <v>1488235.3550095093</v>
      </c>
      <c r="F10" s="147">
        <f>E10*(1+Предпосылки!D6)</f>
        <v>1578095.0057449837</v>
      </c>
      <c r="G10" s="147">
        <f>F10*(1+Предпосылки!E6)</f>
        <v>1664890.2310609578</v>
      </c>
      <c r="H10" s="147">
        <f>G10*(1+Предпосылки!F6)</f>
        <v>1756459.1937693104</v>
      </c>
      <c r="I10" s="147">
        <f>H10*(1+Предпосылки!G6)</f>
        <v>1853064.4494266224</v>
      </c>
      <c r="J10" s="147">
        <f>I10*(1+Предпосылки!H6)</f>
        <v>1954982.9941450865</v>
      </c>
      <c r="K10" s="147">
        <f>J10*(1+Предпосылки!I6)</f>
        <v>2062507.0588230661</v>
      </c>
      <c r="L10" s="147">
        <f>K10*(1+Предпосылки!J6)</f>
        <v>2175944.9470583345</v>
      </c>
      <c r="M10" s="147">
        <f>L10*(1+Предпосылки!K6)</f>
        <v>2295621.9191465429</v>
      </c>
      <c r="N10" s="147">
        <f>M10*(1+Предпосылки!L6)</f>
        <v>2421881.1246996028</v>
      </c>
      <c r="O10" s="147">
        <f>N10*(1+Предпосылки!M6)</f>
        <v>2555084.5865580807</v>
      </c>
      <c r="P10" s="147">
        <f>O10*(1+Предпосылки!N6)</f>
        <v>2695614.2388187749</v>
      </c>
      <c r="Q10" s="147">
        <f>P10*(1+Предпосылки!O6)</f>
        <v>2843873.0219538072</v>
      </c>
      <c r="R10" s="157">
        <f t="shared" si="1"/>
        <v>29248633.73823446</v>
      </c>
      <c r="S10" s="59"/>
    </row>
    <row r="11" spans="1:20" s="5" customFormat="1">
      <c r="A11" s="1" t="s">
        <v>301</v>
      </c>
      <c r="B11" s="147">
        <f>Предпосылки!$B$55*ОПиУ!B2</f>
        <v>0</v>
      </c>
      <c r="C11" s="147">
        <f>Предпосылки!$B$55*ОПиУ!C2</f>
        <v>148820.84442753898</v>
      </c>
      <c r="D11" s="147">
        <f>Предпосылки!$B$55*ОПиУ!D2*(1+Предпосылки!B6)</f>
        <v>397458.80562951689</v>
      </c>
      <c r="E11" s="147">
        <f>D11*(1+Предпосылки!C6)</f>
        <v>427355.65698896919</v>
      </c>
      <c r="F11" s="147">
        <f>E11*(1+Предпосылки!D6)</f>
        <v>453159.39155796322</v>
      </c>
      <c r="G11" s="147">
        <f>F11*(1+Предпосылки!E6)</f>
        <v>478083.15809365117</v>
      </c>
      <c r="H11" s="147">
        <f>G11*(1+Предпосылки!F6)</f>
        <v>504377.73178880196</v>
      </c>
      <c r="I11" s="147">
        <f>H11*(1+Предпосылки!G6)</f>
        <v>532118.50703718606</v>
      </c>
      <c r="J11" s="147">
        <f>I11*(1+Предпосылки!H6)</f>
        <v>561385.02492423123</v>
      </c>
      <c r="K11" s="147">
        <f>J11*(1+Предпосылки!I6)</f>
        <v>592261.20129506395</v>
      </c>
      <c r="L11" s="147">
        <f>K11*(1+Предпосылки!J6)</f>
        <v>624835.56736629247</v>
      </c>
      <c r="M11" s="147">
        <f>L11*(1+Предпосылки!K6)</f>
        <v>659201.52357143851</v>
      </c>
      <c r="N11" s="147">
        <f>M11*(1+Предпосылки!L6)</f>
        <v>695457.6073678676</v>
      </c>
      <c r="O11" s="147">
        <f>N11*(1+Предпосылки!M6)</f>
        <v>733707.77577310032</v>
      </c>
      <c r="P11" s="147">
        <f>O11*(1+Предпосылки!N6)</f>
        <v>774061.7034406208</v>
      </c>
      <c r="Q11" s="147">
        <f>P11*(1+Предпосылки!O6)</f>
        <v>816635.09712985484</v>
      </c>
      <c r="R11" s="157">
        <f t="shared" si="1"/>
        <v>8398919.596392097</v>
      </c>
      <c r="S11" s="59"/>
    </row>
    <row r="12" spans="1:20" s="5" customFormat="1">
      <c r="A12" s="1" t="s">
        <v>313</v>
      </c>
      <c r="B12" s="147"/>
      <c r="C12" s="147"/>
      <c r="D12" s="147">
        <f>20000000*AVERAGE(Цены!$B$30:$M$30)*Предпосылки!B56</f>
        <v>4239338.4503895305</v>
      </c>
      <c r="E12" s="147">
        <f>20000000*AVERAGE(Цены!$B$37:$M$37)*Предпосылки!B56</f>
        <v>4495309.7060240498</v>
      </c>
      <c r="F12" s="147">
        <f>20000000*AVERAGE(Цены!$B$44:$M$44)*Предпосылки!B56</f>
        <v>4742551.7398553733</v>
      </c>
      <c r="G12" s="147">
        <f>20000000*AVERAGE(Цены!$B$51:$M$51)*Предпосылки!B56</f>
        <v>5003392.0855474165</v>
      </c>
      <c r="H12" s="147">
        <f>20000000*AVERAGE(Цены!$B$58:$M$58)*Предпосылки!B56</f>
        <v>5278578.6502525266</v>
      </c>
      <c r="I12" s="147">
        <f>20000000*AVERAGE(Цены!$B$65:$M$65)*Предпосылки!B56</f>
        <v>5568900.4760164144</v>
      </c>
      <c r="J12" s="147">
        <f>20000000*AVERAGE(Цены!$B$72:$M$72)*Предпосылки!B56</f>
        <v>5875190.0021973178</v>
      </c>
      <c r="K12" s="147">
        <f>20000000*AVERAGE(Цены!$B$79:$M$79)*Предпосылки!B56</f>
        <v>6198325.4523181692</v>
      </c>
      <c r="L12" s="147">
        <f>20000000*AVERAGE(Цены!$B$86:$M$86)*Предпосылки!B56</f>
        <v>6539233.352195669</v>
      </c>
      <c r="M12" s="147">
        <f>20000000*AVERAGE(Цены!$B$93:$M$93)*Предпосылки!B56</f>
        <v>6898891.1865664274</v>
      </c>
      <c r="N12" s="147">
        <f>20000000*AVERAGE(Цены!$B$30:$M$30)*Предпосылки!B56</f>
        <v>4239338.4503895305</v>
      </c>
      <c r="O12" s="147">
        <f>20000000*AVERAGE(Цены!$B$30:$M$30)*Предпосылки!B56</f>
        <v>4239338.4503895305</v>
      </c>
      <c r="P12" s="147">
        <f>20000000*AVERAGE(Цены!$B$30:$M$30)*Предпосылки!B56</f>
        <v>4239338.4503895305</v>
      </c>
      <c r="Q12" s="147">
        <f>20000000*AVERAGE(Цены!$B$30:$M$30)*Предпосылки!B56</f>
        <v>4239338.4503895305</v>
      </c>
      <c r="R12" s="157">
        <f t="shared" si="1"/>
        <v>71797064.902921036</v>
      </c>
      <c r="S12" s="59"/>
    </row>
    <row r="13" spans="1:20" s="58" customForma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158"/>
      <c r="S13" s="57"/>
    </row>
    <row r="14" spans="1:20" s="5" customFormat="1">
      <c r="A14" s="1" t="s">
        <v>36</v>
      </c>
      <c r="B14" s="150">
        <f>SUM(B15:B18)</f>
        <v>0</v>
      </c>
      <c r="C14" s="150">
        <f t="shared" ref="C14:Q14" si="3">SUM(C15)</f>
        <v>-3668416.3813870926</v>
      </c>
      <c r="D14" s="150">
        <f t="shared" si="3"/>
        <v>-7930598.8757871594</v>
      </c>
      <c r="E14" s="150">
        <f t="shared" si="3"/>
        <v>-7125021.1990609821</v>
      </c>
      <c r="F14" s="150">
        <f t="shared" si="3"/>
        <v>-7516897.3650093358</v>
      </c>
      <c r="G14" s="150">
        <f t="shared" si="3"/>
        <v>-7930326.7200848479</v>
      </c>
      <c r="H14" s="150">
        <f t="shared" si="3"/>
        <v>-8366494.6896895142</v>
      </c>
      <c r="I14" s="150">
        <f t="shared" si="3"/>
        <v>-8826651.8976224363</v>
      </c>
      <c r="J14" s="150">
        <f t="shared" si="3"/>
        <v>-9312117.7519916724</v>
      </c>
      <c r="K14" s="150">
        <f t="shared" si="3"/>
        <v>-9824284.228351213</v>
      </c>
      <c r="L14" s="150">
        <f t="shared" si="3"/>
        <v>-10364619.860910529</v>
      </c>
      <c r="M14" s="150">
        <f t="shared" si="3"/>
        <v>-10934673.953260606</v>
      </c>
      <c r="N14" s="150">
        <f t="shared" si="3"/>
        <v>-11536081.020689938</v>
      </c>
      <c r="O14" s="150">
        <f t="shared" si="3"/>
        <v>-12170565.476827884</v>
      </c>
      <c r="P14" s="150">
        <f t="shared" si="3"/>
        <v>-12839946.578053419</v>
      </c>
      <c r="Q14" s="150">
        <f t="shared" si="3"/>
        <v>-13546143.639846357</v>
      </c>
      <c r="R14" s="151">
        <f t="shared" ref="R14:R19" si="4">SUM(B14:Q14)</f>
        <v>-141892839.63857299</v>
      </c>
      <c r="S14" s="23"/>
      <c r="T14" s="56">
        <f>-R14</f>
        <v>141892839.63857299</v>
      </c>
    </row>
    <row r="15" spans="1:20">
      <c r="A15" s="2" t="s">
        <v>169</v>
      </c>
      <c r="B15" s="32">
        <f>-SUMIF(Операции!$B$1:$FO$1,ОПиУ!B1,Операции!$B$35:$FO$35)</f>
        <v>0</v>
      </c>
      <c r="C15" s="32">
        <f>-SUMIF(Операции!$B$1:$FO$1,ОПиУ!C1,Операции!$B$35:$FO$35)</f>
        <v>-3668416.3813870926</v>
      </c>
      <c r="D15" s="32">
        <f>-SUMIF(Операции!$B$1:$FO$1,ОПиУ!D1,Операции!$B$35:$FO$35)</f>
        <v>-7930598.8757871594</v>
      </c>
      <c r="E15" s="32">
        <f>-SUMIF(Операции!$B$1:$FO$1,ОПиУ!E1,Операции!$B$35:$FO$35)</f>
        <v>-7125021.1990609821</v>
      </c>
      <c r="F15" s="32">
        <f>-SUMIF(Операции!$B$1:$FO$1,ОПиУ!F1,Операции!$B$35:$FO$35)</f>
        <v>-7516897.3650093358</v>
      </c>
      <c r="G15" s="32">
        <f>-SUMIF(Операции!$B$1:$FO$1,ОПиУ!G1,Операции!$B$35:$FO$35)</f>
        <v>-7930326.7200848479</v>
      </c>
      <c r="H15" s="32">
        <f>-SUMIF(Операции!$B$1:$FO$1,ОПиУ!H1,Операции!$B$35:$FO$35)</f>
        <v>-8366494.6896895142</v>
      </c>
      <c r="I15" s="32">
        <f>-SUMIF(Операции!$B$1:$FO$1,ОПиУ!I1,Операции!$B$35:$FO$35)</f>
        <v>-8826651.8976224363</v>
      </c>
      <c r="J15" s="32">
        <f>-SUMIF(Операции!$B$1:$FO$1,ОПиУ!J1,Операции!$B$35:$FO$35)</f>
        <v>-9312117.7519916724</v>
      </c>
      <c r="K15" s="32">
        <f>-SUMIF(Операции!$B$1:$FO$1,ОПиУ!K1,Операции!$B$35:$FO$35)</f>
        <v>-9824284.228351213</v>
      </c>
      <c r="L15" s="32">
        <f>-SUMIF(Операции!$B$1:$FO$1,ОПиУ!L1,Операции!$B$35:$FO$35)</f>
        <v>-10364619.860910529</v>
      </c>
      <c r="M15" s="32">
        <f>-SUMIF(Операции!$B$1:$FO$1,ОПиУ!M1,Операции!$B$35:$FO$35)</f>
        <v>-10934673.953260606</v>
      </c>
      <c r="N15" s="32">
        <f>-SUMIF(Операции!$B$1:$FO$1,ОПиУ!N1,Операции!$B$35:$FO$35)</f>
        <v>-11536081.020689938</v>
      </c>
      <c r="O15" s="32">
        <f>-SUMIF(Операции!$B$1:$FO$1,ОПиУ!O1,Операции!$B$35:$FO$35)</f>
        <v>-12170565.476827884</v>
      </c>
      <c r="P15" s="32">
        <f>-SUMIF(Операции!$B$1:$FO$1,ОПиУ!P1,Операции!$B$35:$FO$35)</f>
        <v>-12839946.578053419</v>
      </c>
      <c r="Q15" s="32">
        <f>-SUMIF(Операции!$B$1:$FO$1,ОПиУ!Q1,Операции!$B$35:$FO$35)</f>
        <v>-13546143.639846357</v>
      </c>
      <c r="R15" s="152">
        <f t="shared" si="4"/>
        <v>-141892839.63857299</v>
      </c>
      <c r="S15" s="46"/>
      <c r="T15" s="56"/>
    </row>
    <row r="16" spans="1:20">
      <c r="A16" s="2" t="s">
        <v>170</v>
      </c>
      <c r="B16" s="32">
        <f>-SUMIF(Операции!$B$1:$FO$1,ОПиУ!B1,Операции!$B$36:$FO$36)</f>
        <v>0</v>
      </c>
      <c r="C16" s="32">
        <f>-SUMIF(Операции!$B$1:$FO$1,ОПиУ!C1,Операции!$B$36:$FO$36)</f>
        <v>-921807.19327162846</v>
      </c>
      <c r="D16" s="32">
        <f>-SUMIF(Операции!$B$1:$FO$1,ОПиУ!D1,Операции!$B$36:$FO$36)</f>
        <v>-2215159.1226068214</v>
      </c>
      <c r="E16" s="32">
        <f>-SUMIF(Операции!$B$1:$FO$1,ОПиУ!E1,Операции!$B$36:$FO$36)</f>
        <v>-2007249.6222127271</v>
      </c>
      <c r="F16" s="32">
        <f>-SUMIF(Операции!$B$1:$FO$1,ОПиУ!F1,Операции!$B$36:$FO$36)</f>
        <v>-2117648.3514344273</v>
      </c>
      <c r="G16" s="32">
        <f>-SUMIF(Операции!$B$1:$FO$1,ОПиУ!G1,Операции!$B$36:$FO$36)</f>
        <v>-2234119.0107633206</v>
      </c>
      <c r="H16" s="32">
        <f>-SUMIF(Операции!$B$1:$FO$1,ОПиУ!H1,Операции!$B$36:$FO$36)</f>
        <v>-2356995.5563553032</v>
      </c>
      <c r="I16" s="32">
        <f>-SUMIF(Операции!$B$1:$FO$1,ОПиУ!I1,Операции!$B$36:$FO$36)</f>
        <v>-2486630.3119548443</v>
      </c>
      <c r="J16" s="32">
        <f>-SUMIF(Операции!$B$1:$FO$1,ОПиУ!J1,Операции!$B$36:$FO$36)</f>
        <v>-2623394.9791123606</v>
      </c>
      <c r="K16" s="32">
        <f>-SUMIF(Операции!$B$1:$FO$1,ОПиУ!K1,Операции!$B$36:$FO$36)</f>
        <v>-2767681.7029635403</v>
      </c>
      <c r="L16" s="32">
        <f>-SUMIF(Операции!$B$1:$FO$1,ОПиУ!L1,Операции!$B$36:$FO$36)</f>
        <v>-2919904.1966265352</v>
      </c>
      <c r="M16" s="32">
        <f>-SUMIF(Операции!$B$1:$FO$1,ОПиУ!M1,Операции!$B$36:$FO$36)</f>
        <v>-3080498.9274409944</v>
      </c>
      <c r="N16" s="32">
        <f>-SUMIF(Операции!$B$1:$FO$1,ОПиУ!N1,Операции!$B$36:$FO$36)</f>
        <v>-3249926.3684502486</v>
      </c>
      <c r="O16" s="32">
        <f>-SUMIF(Операции!$B$1:$FO$1,ОПиУ!O1,Операции!$B$36:$FO$36)</f>
        <v>-3428672.3187150122</v>
      </c>
      <c r="P16" s="32">
        <f>-SUMIF(Операции!$B$1:$FO$1,ОПиУ!P1,Операции!$B$36:$FO$36)</f>
        <v>-3617249.2962443372</v>
      </c>
      <c r="Q16" s="32">
        <f>-SUMIF(Операции!$B$1:$FO$1,ОПиУ!Q1,Операции!$B$36:$FO$36)</f>
        <v>-3816198.0075377761</v>
      </c>
      <c r="R16" s="152">
        <f t="shared" si="4"/>
        <v>-39843134.965689875</v>
      </c>
      <c r="S16" s="46"/>
      <c r="T16" s="56"/>
    </row>
    <row r="17" spans="1:20">
      <c r="A17" s="2" t="s">
        <v>171</v>
      </c>
      <c r="B17" s="32">
        <f>-SUMIF(Операции!$B$1:$FO$1,ОПиУ!B1,Операции!$B$37:$FO$37)</f>
        <v>0</v>
      </c>
      <c r="C17" s="32">
        <f>-SUMIF(Операции!$B$1:$FO$1,ОПиУ!C1,Операции!$B$37:$FO$37)</f>
        <v>-812068.24169167271</v>
      </c>
      <c r="D17" s="32">
        <f>-SUMIF(Операции!$B$1:$FO$1,ОПиУ!D1,Операции!$B$37:$FO$37)</f>
        <v>-1766797.1204372877</v>
      </c>
      <c r="E17" s="32">
        <f>-SUMIF(Операции!$B$1:$FO$1,ОПиУ!E1,Операции!$B$37:$FO$37)</f>
        <v>-1696242.1117363116</v>
      </c>
      <c r="F17" s="32">
        <f>-SUMIF(Операции!$B$1:$FO$1,ОПиУ!F1,Операции!$B$37:$FO$37)</f>
        <v>-1789535.4278818085</v>
      </c>
      <c r="G17" s="32">
        <f>-SUMIF(Операции!$B$1:$FO$1,ОПиУ!G1,Операции!$B$37:$FO$37)</f>
        <v>-1887959.8764153079</v>
      </c>
      <c r="H17" s="32">
        <f>-SUMIF(Операции!$B$1:$FO$1,ОПиУ!H1,Операции!$B$37:$FO$37)</f>
        <v>-1991797.66961815</v>
      </c>
      <c r="I17" s="32">
        <f>-SUMIF(Операции!$B$1:$FO$1,ОПиУ!I1,Операции!$B$37:$FO$37)</f>
        <v>-2101346.5414471482</v>
      </c>
      <c r="J17" s="32">
        <f>-SUMIF(Операции!$B$1:$FO$1,ОПиУ!J1,Операции!$B$37:$FO$37)</f>
        <v>-2216920.601226741</v>
      </c>
      <c r="K17" s="32">
        <f>-SUMIF(Операции!$B$1:$FO$1,ОПиУ!K1,Операции!$B$37:$FO$37)</f>
        <v>-2338851.234294212</v>
      </c>
      <c r="L17" s="32">
        <f>-SUMIF(Операции!$B$1:$FO$1,ОПиУ!L1,Операции!$B$37:$FO$37)</f>
        <v>-2467488.0521803931</v>
      </c>
      <c r="M17" s="32">
        <f>-SUMIF(Операции!$B$1:$FO$1,ОПиУ!M1,Операции!$B$37:$FO$37)</f>
        <v>-2603199.8950503143</v>
      </c>
      <c r="N17" s="32">
        <f>-SUMIF(Операции!$B$1:$FO$1,ОПиУ!N1,Операции!$B$37:$FO$37)</f>
        <v>-2746375.8892780822</v>
      </c>
      <c r="O17" s="32">
        <f>-SUMIF(Операции!$B$1:$FO$1,ОПиУ!O1,Операции!$B$37:$FO$37)</f>
        <v>-2897426.5631883764</v>
      </c>
      <c r="P17" s="32">
        <f>-SUMIF(Операции!$B$1:$FO$1,ОПиУ!P1,Операции!$B$37:$FO$37)</f>
        <v>-3056785.024163737</v>
      </c>
      <c r="Q17" s="32">
        <f>-SUMIF(Операции!$B$1:$FO$1,ОПиУ!Q1,Операции!$B$37:$FO$37)</f>
        <v>-3224908.200492742</v>
      </c>
      <c r="R17" s="152">
        <f t="shared" si="4"/>
        <v>-33597702.44910229</v>
      </c>
      <c r="S17" s="46"/>
      <c r="T17" s="56"/>
    </row>
    <row r="18" spans="1:20">
      <c r="A18" s="2" t="s">
        <v>172</v>
      </c>
      <c r="B18" s="32">
        <f>-SUMIF(Операции!$B$1:$FO$1,ОПиУ!B1,Операции!$B$38:$FO$38)</f>
        <v>0</v>
      </c>
      <c r="C18" s="32">
        <f>-SUMIF(Операции!$B$1:$FO$1,ОПиУ!C1,Операции!$B$38:$FO$38)</f>
        <v>-318242.95958187175</v>
      </c>
      <c r="D18" s="32">
        <f>-SUMIF(Операции!$B$1:$FO$1,ОПиУ!D1,Операции!$B$38:$FO$38)</f>
        <v>-838719.12993251893</v>
      </c>
      <c r="E18" s="32">
        <f>-SUMIF(Операции!$B$1:$FO$1,ОПиУ!E1,Операции!$B$38:$FO$38)</f>
        <v>-697085.79934368981</v>
      </c>
      <c r="F18" s="32">
        <f>-SUMIF(Операции!$B$1:$FO$1,ОПиУ!F1,Операции!$B$38:$FO$38)</f>
        <v>-735425.51830759272</v>
      </c>
      <c r="G18" s="32">
        <f>-SUMIF(Операции!$B$1:$FO$1,ОПиУ!G1,Операции!$B$38:$FO$38)</f>
        <v>-775873.92181451025</v>
      </c>
      <c r="H18" s="32">
        <f>-SUMIF(Операции!$B$1:$FO$1,ОПиУ!H1,Операции!$B$38:$FO$38)</f>
        <v>-818546.9875143083</v>
      </c>
      <c r="I18" s="32">
        <f>-SUMIF(Операции!$B$1:$FO$1,ОПиУ!I1,Операции!$B$38:$FO$38)</f>
        <v>-863567.07182759524</v>
      </c>
      <c r="J18" s="32">
        <f>-SUMIF(Операции!$B$1:$FO$1,ОПиУ!J1,Операции!$B$38:$FO$38)</f>
        <v>-911063.26077811304</v>
      </c>
      <c r="K18" s="32">
        <f>-SUMIF(Операции!$B$1:$FO$1,ОПиУ!K1,Операции!$B$38:$FO$38)</f>
        <v>-961171.74012090906</v>
      </c>
      <c r="L18" s="32">
        <f>-SUMIF(Операции!$B$1:$FO$1,ОПиУ!L1,Операции!$B$38:$FO$38)</f>
        <v>-1014036.185827559</v>
      </c>
      <c r="M18" s="32">
        <f>-SUMIF(Операции!$B$1:$FO$1,ОПиУ!M1,Операции!$B$38:$FO$38)</f>
        <v>-1069808.1760480746</v>
      </c>
      <c r="N18" s="32">
        <f>-SUMIF(Операции!$B$1:$FO$1,ОПиУ!N1,Операции!$B$38:$FO$38)</f>
        <v>-1128647.6257307187</v>
      </c>
      <c r="O18" s="32">
        <f>-SUMIF(Операции!$B$1:$FO$1,ОПиУ!O1,Операции!$B$38:$FO$38)</f>
        <v>-1190723.2451459083</v>
      </c>
      <c r="P18" s="32">
        <f>-SUMIF(Операции!$B$1:$FO$1,ОПиУ!P1,Операции!$B$38:$FO$38)</f>
        <v>-1256213.0236289329</v>
      </c>
      <c r="Q18" s="32">
        <f>-SUMIF(Операции!$B$1:$FO$1,ОПиУ!Q1,Операции!$B$38:$FO$38)</f>
        <v>-1325304.739928524</v>
      </c>
      <c r="R18" s="152">
        <f t="shared" si="4"/>
        <v>-13904429.385530826</v>
      </c>
      <c r="S18" s="46"/>
      <c r="T18" s="56"/>
    </row>
    <row r="19" spans="1:20" s="79" customFormat="1">
      <c r="A19" s="77" t="str">
        <f>A8</f>
        <v>в т.ч. НДС</v>
      </c>
      <c r="B19" s="153">
        <f>B14*12/112</f>
        <v>0</v>
      </c>
      <c r="C19" s="153">
        <f t="shared" ref="C19:Q19" si="5">C14*12/112</f>
        <v>-393044.61229147424</v>
      </c>
      <c r="D19" s="153">
        <f t="shared" si="5"/>
        <v>-849707.022405767</v>
      </c>
      <c r="E19" s="153">
        <f t="shared" si="5"/>
        <v>-763395.12847081944</v>
      </c>
      <c r="F19" s="153">
        <f t="shared" si="5"/>
        <v>-805381.86053671443</v>
      </c>
      <c r="G19" s="153">
        <f t="shared" si="5"/>
        <v>-849677.8628662338</v>
      </c>
      <c r="H19" s="153">
        <f t="shared" si="5"/>
        <v>-896410.14532387652</v>
      </c>
      <c r="I19" s="153">
        <f t="shared" si="5"/>
        <v>-945712.70331668959</v>
      </c>
      <c r="J19" s="153">
        <f t="shared" si="5"/>
        <v>-997726.90199910768</v>
      </c>
      <c r="K19" s="153">
        <f t="shared" si="5"/>
        <v>-1052601.8816090585</v>
      </c>
      <c r="L19" s="153">
        <f t="shared" si="5"/>
        <v>-1110494.9850975568</v>
      </c>
      <c r="M19" s="153">
        <f t="shared" si="5"/>
        <v>-1171572.2092779221</v>
      </c>
      <c r="N19" s="153">
        <f t="shared" si="5"/>
        <v>-1236008.6807882078</v>
      </c>
      <c r="O19" s="153">
        <f t="shared" si="5"/>
        <v>-1303989.158231559</v>
      </c>
      <c r="P19" s="153">
        <f t="shared" si="5"/>
        <v>-1375708.5619342949</v>
      </c>
      <c r="Q19" s="153">
        <f t="shared" si="5"/>
        <v>-1451372.532840681</v>
      </c>
      <c r="R19" s="154">
        <f t="shared" si="4"/>
        <v>-15202804.246989962</v>
      </c>
      <c r="S19" s="80"/>
    </row>
    <row r="20" spans="1:20" s="79" customFormat="1">
      <c r="A20" s="77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78"/>
      <c r="R20" s="154"/>
      <c r="S20" s="80"/>
    </row>
    <row r="21" spans="1:20" s="5" customFormat="1">
      <c r="A21" s="1" t="s">
        <v>37</v>
      </c>
      <c r="B21" s="150">
        <f t="shared" ref="B21:Q21" si="6">B3+B9+B14</f>
        <v>0</v>
      </c>
      <c r="C21" s="150">
        <f t="shared" si="6"/>
        <v>-3001337.6442246735</v>
      </c>
      <c r="D21" s="150">
        <f t="shared" si="6"/>
        <v>54498825.238524824</v>
      </c>
      <c r="E21" s="150">
        <f t="shared" si="6"/>
        <v>21080772.231675126</v>
      </c>
      <c r="F21" s="150">
        <f t="shared" si="6"/>
        <v>22250520.584061801</v>
      </c>
      <c r="G21" s="150">
        <f t="shared" si="6"/>
        <v>23474299.216185205</v>
      </c>
      <c r="H21" s="150">
        <f t="shared" si="6"/>
        <v>24765385.673075397</v>
      </c>
      <c r="I21" s="150">
        <f t="shared" si="6"/>
        <v>26127481.885094531</v>
      </c>
      <c r="J21" s="150">
        <f t="shared" si="6"/>
        <v>27564493.388774738</v>
      </c>
      <c r="K21" s="150">
        <f t="shared" si="6"/>
        <v>29080540.52515734</v>
      </c>
      <c r="L21" s="150">
        <f t="shared" si="6"/>
        <v>30679970.254040994</v>
      </c>
      <c r="M21" s="150">
        <f t="shared" si="6"/>
        <v>32367368.618013248</v>
      </c>
      <c r="N21" s="150">
        <f t="shared" si="6"/>
        <v>31108582.140565928</v>
      </c>
      <c r="O21" s="150">
        <f t="shared" si="6"/>
        <v>32586390.543525629</v>
      </c>
      <c r="P21" s="150">
        <f t="shared" si="6"/>
        <v>34145478.408648118</v>
      </c>
      <c r="Q21" s="22">
        <f t="shared" si="6"/>
        <v>35790316.106352329</v>
      </c>
      <c r="R21" s="151">
        <f>SUM(B21:Q21)</f>
        <v>422519087.16947055</v>
      </c>
      <c r="S21" s="23"/>
      <c r="T21" s="56"/>
    </row>
    <row r="22" spans="1:20">
      <c r="A22" s="2" t="s">
        <v>173</v>
      </c>
      <c r="B22" s="32">
        <v>0</v>
      </c>
      <c r="C22" s="32">
        <f>-(4*3*52+780+1020+40*60+30*48)*C2*30*16*Предпосылки!$B$36</f>
        <v>-693193.76188664883</v>
      </c>
      <c r="D22" s="32">
        <f>-(4*3*52+780+1020+40*60+30*48)*D2*30*16*Предпосылки!$B$36</f>
        <v>-1663665.0285279574</v>
      </c>
      <c r="E22" s="32">
        <f>-(4*3*52+780+1020+40*60+30*48)*E2*30*16*Предпосылки!$B$36</f>
        <v>-1663665.0285279574</v>
      </c>
      <c r="F22" s="32">
        <f>-(4*3*52+780+1020+40*60+30*48)*F2*30*16*Предпосылки!$B$36</f>
        <v>-1663665.0285279574</v>
      </c>
      <c r="G22" s="32">
        <f>-(4*3*52+780+1020+40*60+30*48)*G2*30*16*Предпосылки!$B$36</f>
        <v>-1663665.0285279574</v>
      </c>
      <c r="H22" s="32">
        <f>-(4*3*52+780+1020+40*60+30*48)*H2*30*16*Предпосылки!$B$36</f>
        <v>-1663665.0285279574</v>
      </c>
      <c r="I22" s="32">
        <f>-(4*3*52+780+1020+40*60+30*48)*I2*30*16*Предпосылки!$B$36</f>
        <v>-1663665.0285279574</v>
      </c>
      <c r="J22" s="32">
        <f>-(4*3*52+780+1020+40*60+30*48)*J2*30*16*Предпосылки!$B$36</f>
        <v>-1663665.0285279574</v>
      </c>
      <c r="K22" s="32">
        <f>-(4*3*52+780+1020+40*60+30*48)*K2*30*16*Предпосылки!$B$36</f>
        <v>-1663665.0285279574</v>
      </c>
      <c r="L22" s="32">
        <f>-(4*3*52+780+1020+40*60+30*48)*L2*30*16*Предпосылки!$B$36</f>
        <v>-1663665.0285279574</v>
      </c>
      <c r="M22" s="32">
        <f>-(4*3*52+780+1020+40*60+30*48)*M2*30*16*Предпосылки!$B$36</f>
        <v>-1663665.0285279574</v>
      </c>
      <c r="N22" s="32">
        <f>-(4*3*52+780+1020+40*60+30*48)*N2*30*16*Предпосылки!$B$36</f>
        <v>-1663665.0285279574</v>
      </c>
      <c r="O22" s="32">
        <f>-(4*3*52+780+1020+40*60+30*48)*O2*30*16*Предпосылки!$B$36</f>
        <v>-1663665.0285279574</v>
      </c>
      <c r="P22" s="32">
        <f>-(4*3*52+780+1020+40*60+30*48)*P2*30*16*Предпосылки!$B$36</f>
        <v>-1663665.0285279574</v>
      </c>
      <c r="Q22" s="7">
        <f>-(4*3*52+780+1020+40*60+30*48)*Q2*30*16*Предпосылки!$B$36</f>
        <v>-1663665.0285279574</v>
      </c>
      <c r="R22" s="152">
        <f>SUM(B22:Q22)</f>
        <v>-23984504.161278043</v>
      </c>
      <c r="S22" s="46"/>
      <c r="T22" s="56">
        <f t="shared" ref="T22:T36" si="7">-R22</f>
        <v>23984504.161278043</v>
      </c>
    </row>
    <row r="23" spans="1:20">
      <c r="A23" s="2" t="s">
        <v>288</v>
      </c>
      <c r="B23" s="32">
        <v>0</v>
      </c>
      <c r="C23" s="32">
        <f>-300000000/Предпосылки!B3</f>
        <v>-633954.60885000625</v>
      </c>
      <c r="D23" s="32">
        <f>C23*(1+Предпосылки!C6)</f>
        <v>-681640.67452770378</v>
      </c>
      <c r="E23" s="32">
        <f>D23*(1+Предпосылки!D6)</f>
        <v>-722798.13845568663</v>
      </c>
      <c r="F23" s="32">
        <f>E23*(1+Предпосылки!E6)</f>
        <v>-762552.0360707494</v>
      </c>
      <c r="G23" s="32">
        <f>F23*(1+Предпосылки!F6)</f>
        <v>-804492.39805464062</v>
      </c>
      <c r="H23" s="32">
        <f>G23*(1+Предпосылки!G6)</f>
        <v>-848739.4799476458</v>
      </c>
      <c r="I23" s="32">
        <f>H23*(1+Предпосылки!H6)</f>
        <v>-895420.15134476626</v>
      </c>
      <c r="J23" s="32">
        <f>I23*(1+Предпосылки!I6)</f>
        <v>-944668.25966872834</v>
      </c>
      <c r="K23" s="32">
        <f>J23*(1+Предпосылки!J6)</f>
        <v>-996625.01395050832</v>
      </c>
      <c r="L23" s="32">
        <f>K23*(1+Предпосылки!K6)</f>
        <v>-1051439.3897177861</v>
      </c>
      <c r="M23" s="32">
        <f>L23*(1+Предпосылки!L6)</f>
        <v>-1109268.5561522644</v>
      </c>
      <c r="N23" s="32">
        <f>M23*(1+Предпосылки!M6)</f>
        <v>-1170278.3267406388</v>
      </c>
      <c r="O23" s="32">
        <f>N23*(1+Предпосылки!N6)</f>
        <v>-1234643.6347113738</v>
      </c>
      <c r="P23" s="32">
        <f>O23*(1+Предпосылки!O6)</f>
        <v>-1302549.0346204992</v>
      </c>
      <c r="Q23" s="7">
        <f>P23*(1+Предпосылки!P6)</f>
        <v>-1374189.2315246267</v>
      </c>
      <c r="R23" s="152">
        <f t="shared" ref="R23:R30" si="8">SUM(B23:Q23)</f>
        <v>-14533258.934337623</v>
      </c>
      <c r="S23" s="46"/>
      <c r="T23" s="56">
        <f t="shared" si="7"/>
        <v>14533258.934337623</v>
      </c>
    </row>
    <row r="24" spans="1:20">
      <c r="A24" s="2" t="s">
        <v>202</v>
      </c>
      <c r="B24" s="32">
        <f>-Предпосылки!$B$37*ОПиУ!B2</f>
        <v>0</v>
      </c>
      <c r="C24" s="32">
        <f>-Предпосылки!$B$37*ОПиУ!C2</f>
        <v>-10565.910147500106</v>
      </c>
      <c r="D24" s="32">
        <f>-Предпосылки!$B$37*ОПиУ!D2*(1+Предпосылки!B6)</f>
        <v>-28218.58754913148</v>
      </c>
      <c r="E24" s="32">
        <f>D24*(1+Предпосылки!C6)</f>
        <v>-30341.189704577151</v>
      </c>
      <c r="F24" s="32">
        <f>E24*(1+Предпосылки!D6)</f>
        <v>-32173.190738939524</v>
      </c>
      <c r="G24" s="32">
        <f>F24*(1+Предпосылки!E6)</f>
        <v>-33942.716229581194</v>
      </c>
      <c r="H24" s="32">
        <f>G24*(1+Предпосылки!F6)</f>
        <v>-35809.56562220816</v>
      </c>
      <c r="I24" s="32">
        <f>H24*(1+Предпосылки!G6)</f>
        <v>-37779.091731429609</v>
      </c>
      <c r="J24" s="32">
        <f>I24*(1+Предпосылки!H6)</f>
        <v>-39856.941776658234</v>
      </c>
      <c r="K24" s="32">
        <f>J24*(1+Предпосылки!I6)</f>
        <v>-42049.073574374437</v>
      </c>
      <c r="L24" s="32">
        <f>K24*(1+Предпосылки!J6)</f>
        <v>-44361.772620965028</v>
      </c>
      <c r="M24" s="32">
        <f>L24*(1+Предпосылки!K6)</f>
        <v>-46801.670115118104</v>
      </c>
      <c r="N24" s="32">
        <f>M24*(1+Предпосылки!L6)</f>
        <v>-49375.761971449596</v>
      </c>
      <c r="O24" s="32">
        <f>N24*(1+Предпосылки!M6)</f>
        <v>-52091.42887987932</v>
      </c>
      <c r="P24" s="32">
        <f>O24*(1+Предпосылки!N6)</f>
        <v>-54956.457468272682</v>
      </c>
      <c r="Q24" s="7">
        <f>P24*(1+Предпосылки!O6)</f>
        <v>-57979.062629027678</v>
      </c>
      <c r="R24" s="152">
        <f t="shared" si="8"/>
        <v>-596302.42075911222</v>
      </c>
      <c r="S24" s="46"/>
      <c r="T24" s="56">
        <f t="shared" si="7"/>
        <v>596302.42075911222</v>
      </c>
    </row>
    <row r="25" spans="1:20">
      <c r="A25" s="2" t="s">
        <v>174</v>
      </c>
      <c r="B25" s="32">
        <f>-ФОТ!$E$30*ОПиУ!B2</f>
        <v>0</v>
      </c>
      <c r="C25" s="32">
        <f>-ФОТ!$E$30*ОПиУ!C2*(1+Предпосылки!B6)</f>
        <v>-289049.8</v>
      </c>
      <c r="D25" s="32">
        <f>-ФОТ!$E$30*ОПиУ!D2*(1+Предпосылки!C6)</f>
        <v>-670292.14800000004</v>
      </c>
      <c r="E25" s="32">
        <f>D25*(1+Предпосылки!C6)</f>
        <v>-720711.52337256004</v>
      </c>
      <c r="F25" s="32">
        <f>E25*(1+Предпосылки!D6)</f>
        <v>-764228.08515379531</v>
      </c>
      <c r="G25" s="32">
        <f>F25*(1+Предпосылки!E6)</f>
        <v>-806260.62983725406</v>
      </c>
      <c r="H25" s="32">
        <f>G25*(1+Предпосылки!F6)</f>
        <v>-850604.96447830298</v>
      </c>
      <c r="I25" s="32">
        <f>H25*(1+Предпосылки!G6)</f>
        <v>-897388.23752460955</v>
      </c>
      <c r="J25" s="32">
        <f>I25*(1+Предпосылки!H6)</f>
        <v>-946744.590588463</v>
      </c>
      <c r="K25" s="32">
        <f>J25*(1+Предпосылки!I6)</f>
        <v>-998815.54307082843</v>
      </c>
      <c r="L25" s="32">
        <f>K25*(1+Предпосылки!J6)</f>
        <v>-1053750.3979397239</v>
      </c>
      <c r="M25" s="32">
        <f>L25*(1+Предпосылки!K6)</f>
        <v>-1111706.6698264086</v>
      </c>
      <c r="N25" s="32">
        <f>M25*(1+Предпосылки!L6)</f>
        <v>-1172850.536666861</v>
      </c>
      <c r="O25" s="32">
        <f>N25*(1+Предпосылки!M6)</f>
        <v>-1237357.3161835384</v>
      </c>
      <c r="P25" s="32">
        <f>O25*(1+Предпосылки!N6)</f>
        <v>-1305411.9685736329</v>
      </c>
      <c r="Q25" s="7">
        <f>P25*(1+Предпосылки!O6)</f>
        <v>-1377209.6268451826</v>
      </c>
      <c r="R25" s="152">
        <f t="shared" si="8"/>
        <v>-14202382.038061162</v>
      </c>
      <c r="S25" s="46"/>
      <c r="T25" s="56">
        <f t="shared" si="7"/>
        <v>14202382.038061162</v>
      </c>
    </row>
    <row r="26" spans="1:20">
      <c r="A26" s="2" t="s">
        <v>199</v>
      </c>
      <c r="B26" s="32">
        <f>B25*0.35</f>
        <v>0</v>
      </c>
      <c r="C26" s="32">
        <f t="shared" ref="C26:Q26" si="9">C25*0.35</f>
        <v>-101167.43</v>
      </c>
      <c r="D26" s="32">
        <f t="shared" si="9"/>
        <v>-234602.2518</v>
      </c>
      <c r="E26" s="32">
        <f t="shared" si="9"/>
        <v>-252249.03318039599</v>
      </c>
      <c r="F26" s="32">
        <f t="shared" si="9"/>
        <v>-267479.82980382832</v>
      </c>
      <c r="G26" s="32">
        <f t="shared" si="9"/>
        <v>-282191.22044303891</v>
      </c>
      <c r="H26" s="32">
        <f t="shared" si="9"/>
        <v>-297711.73756740603</v>
      </c>
      <c r="I26" s="32">
        <f t="shared" si="9"/>
        <v>-314085.88313361333</v>
      </c>
      <c r="J26" s="32">
        <f t="shared" si="9"/>
        <v>-331360.60670596204</v>
      </c>
      <c r="K26" s="32">
        <f t="shared" si="9"/>
        <v>-349585.44007478992</v>
      </c>
      <c r="L26" s="32">
        <f t="shared" si="9"/>
        <v>-368812.63927890337</v>
      </c>
      <c r="M26" s="32">
        <f t="shared" si="9"/>
        <v>-389097.33443924302</v>
      </c>
      <c r="N26" s="32">
        <f t="shared" si="9"/>
        <v>-410497.68783340132</v>
      </c>
      <c r="O26" s="32">
        <f t="shared" si="9"/>
        <v>-433075.06066423841</v>
      </c>
      <c r="P26" s="32">
        <f t="shared" si="9"/>
        <v>-456894.1890007715</v>
      </c>
      <c r="Q26" s="7">
        <f t="shared" si="9"/>
        <v>-482023.3693958139</v>
      </c>
      <c r="R26" s="152">
        <f>SUM(B26:Q26)</f>
        <v>-4970833.7133214064</v>
      </c>
      <c r="S26" s="46"/>
      <c r="T26" s="56">
        <f t="shared" si="7"/>
        <v>4970833.7133214064</v>
      </c>
    </row>
    <row r="27" spans="1:20">
      <c r="A27" s="2" t="s">
        <v>200</v>
      </c>
      <c r="B27" s="32"/>
      <c r="C27" s="32"/>
      <c r="D27" s="32">
        <f>-D21*Предпосылки!$B$33</f>
        <v>-272494.1261926241</v>
      </c>
      <c r="E27" s="32">
        <f>-E21*Предпосылки!$B$33</f>
        <v>-105403.86115837563</v>
      </c>
      <c r="F27" s="32">
        <f>-F21*Предпосылки!$B$33</f>
        <v>-111252.60292030901</v>
      </c>
      <c r="G27" s="32">
        <f>-G21*Предпосылки!$B$33</f>
        <v>-117371.49608092602</v>
      </c>
      <c r="H27" s="32">
        <f>-H21*Предпосылки!$B$33</f>
        <v>-123826.92836537698</v>
      </c>
      <c r="I27" s="32">
        <f>-I21*Предпосылки!$B$33</f>
        <v>-130637.40942547265</v>
      </c>
      <c r="J27" s="32">
        <f>-J21*Предпосылки!$B$33</f>
        <v>-137822.4669438737</v>
      </c>
      <c r="K27" s="32">
        <f>-K21*Предпосылки!$B$33</f>
        <v>-145402.70262578671</v>
      </c>
      <c r="L27" s="32">
        <f>-L21*Предпосылки!$B$33</f>
        <v>-153399.85127020496</v>
      </c>
      <c r="M27" s="32">
        <f>-M21*Предпосылки!$B$33</f>
        <v>-161836.84309006625</v>
      </c>
      <c r="N27" s="32">
        <f>-N21*Предпосылки!$B$33</f>
        <v>-155542.91070282966</v>
      </c>
      <c r="O27" s="32">
        <f>-O21*Предпосылки!$B$33</f>
        <v>-162931.95271762816</v>
      </c>
      <c r="P27" s="32">
        <f>-P21*Предпосылки!$B$33</f>
        <v>-170727.3920432406</v>
      </c>
      <c r="Q27" s="7">
        <f>-Q21*Предпосылки!$B$33</f>
        <v>-178951.58053176166</v>
      </c>
      <c r="R27" s="152">
        <f t="shared" si="8"/>
        <v>-2127602.1240684758</v>
      </c>
      <c r="S27" s="46"/>
      <c r="T27" s="56">
        <f t="shared" si="7"/>
        <v>2127602.1240684758</v>
      </c>
    </row>
    <row r="28" spans="1:20">
      <c r="A28" s="2" t="s">
        <v>211</v>
      </c>
      <c r="B28" s="32">
        <f>-Предпосылки!$B$38*ОПиУ!B2</f>
        <v>0</v>
      </c>
      <c r="C28" s="32">
        <f>-Предпосылки!$B$38*ОПиУ!C2</f>
        <v>-10565.910147500106</v>
      </c>
      <c r="D28" s="32">
        <f>-Предпосылки!$B$38*ОПиУ!D2*(1+Предпосылки!B6)</f>
        <v>-28218.58754913148</v>
      </c>
      <c r="E28" s="32">
        <f>D28*(1+Предпосылки!C6)</f>
        <v>-30341.189704577151</v>
      </c>
      <c r="F28" s="32">
        <f>E28*(1+Предпосылки!D6)</f>
        <v>-32173.190738939524</v>
      </c>
      <c r="G28" s="32">
        <f>F28*(1+Предпосылки!E6)</f>
        <v>-33942.716229581194</v>
      </c>
      <c r="H28" s="32">
        <f>G28*(1+Предпосылки!F6)</f>
        <v>-35809.56562220816</v>
      </c>
      <c r="I28" s="32">
        <f>H28*(1+Предпосылки!G6)</f>
        <v>-37779.091731429609</v>
      </c>
      <c r="J28" s="32">
        <f>I28*(1+Предпосылки!H6)</f>
        <v>-39856.941776658234</v>
      </c>
      <c r="K28" s="32">
        <f>J28*(1+Предпосылки!I6)</f>
        <v>-42049.073574374437</v>
      </c>
      <c r="L28" s="32">
        <f>K28*(1+Предпосылки!J6)</f>
        <v>-44361.772620965028</v>
      </c>
      <c r="M28" s="32">
        <f>L28*(1+Предпосылки!K6)</f>
        <v>-46801.670115118104</v>
      </c>
      <c r="N28" s="32">
        <f>M28*(1+Предпосылки!L6)</f>
        <v>-49375.761971449596</v>
      </c>
      <c r="O28" s="32">
        <f>N28*(1+Предпосылки!M6)</f>
        <v>-52091.42887987932</v>
      </c>
      <c r="P28" s="32">
        <f>O28*(1+Предпосылки!N6)</f>
        <v>-54956.457468272682</v>
      </c>
      <c r="Q28" s="7">
        <f>P28*(1+Предпосылки!O6)</f>
        <v>-57979.062629027678</v>
      </c>
      <c r="R28" s="152">
        <f t="shared" si="8"/>
        <v>-596302.42075911222</v>
      </c>
      <c r="S28" s="46"/>
      <c r="T28" s="56">
        <f t="shared" si="7"/>
        <v>596302.42075911222</v>
      </c>
    </row>
    <row r="29" spans="1:20">
      <c r="A29" s="2" t="s">
        <v>294</v>
      </c>
      <c r="B29" s="32">
        <f>SUM(B22:B28)*1%</f>
        <v>0</v>
      </c>
      <c r="C29" s="32">
        <f>SUM(C22:C28)*1%</f>
        <v>-17384.974210316552</v>
      </c>
      <c r="D29" s="32">
        <f t="shared" ref="D29:L29" si="10">SUM(D22:D28)*1%</f>
        <v>-35791.314041465484</v>
      </c>
      <c r="E29" s="32">
        <f t="shared" si="10"/>
        <v>-35255.099641041299</v>
      </c>
      <c r="F29" s="32">
        <f t="shared" si="10"/>
        <v>-36335.239639545187</v>
      </c>
      <c r="G29" s="32">
        <f t="shared" si="10"/>
        <v>-37418.662054029795</v>
      </c>
      <c r="H29" s="32">
        <f t="shared" si="10"/>
        <v>-38561.67270131105</v>
      </c>
      <c r="I29" s="32">
        <f t="shared" si="10"/>
        <v>-39767.54893419279</v>
      </c>
      <c r="J29" s="32">
        <f t="shared" si="10"/>
        <v>-41039.748359883015</v>
      </c>
      <c r="K29" s="32">
        <f t="shared" si="10"/>
        <v>-42381.918753986189</v>
      </c>
      <c r="L29" s="32">
        <f t="shared" si="10"/>
        <v>-43797.908519765064</v>
      </c>
      <c r="M29" s="32">
        <f>SUM(M22:M28)*1%</f>
        <v>-45291.777722661769</v>
      </c>
      <c r="N29" s="32">
        <f>SUM(N22:N28)*1%</f>
        <v>-46715.860144145874</v>
      </c>
      <c r="O29" s="32">
        <f>SUM(O22:O28)*1%</f>
        <v>-48358.558505644949</v>
      </c>
      <c r="P29" s="32">
        <f>SUM(P22:P28)*1%</f>
        <v>-50091.605277026472</v>
      </c>
      <c r="Q29" s="7">
        <f>SUM(Q22:Q28)*1%</f>
        <v>-51919.969620833974</v>
      </c>
      <c r="R29" s="152">
        <f t="shared" si="8"/>
        <v>-610111.85812584951</v>
      </c>
      <c r="S29" s="46"/>
      <c r="T29" s="56">
        <f t="shared" si="7"/>
        <v>610111.85812584951</v>
      </c>
    </row>
    <row r="30" spans="1:20">
      <c r="A30" s="2" t="s">
        <v>93</v>
      </c>
      <c r="B30" s="32">
        <f>-НДС!B8</f>
        <v>0</v>
      </c>
      <c r="C30" s="32">
        <f>-НДС!C8</f>
        <v>0</v>
      </c>
      <c r="D30" s="32">
        <f>-НДС!D8</f>
        <v>0</v>
      </c>
      <c r="E30" s="32">
        <f>-НДС!E8</f>
        <v>0</v>
      </c>
      <c r="F30" s="32">
        <f>-НДС!F8</f>
        <v>0</v>
      </c>
      <c r="G30" s="32">
        <f>-НДС!G8</f>
        <v>0</v>
      </c>
      <c r="H30" s="32">
        <f>-НДС!H8</f>
        <v>-2295160.3886952363</v>
      </c>
      <c r="I30" s="32">
        <f>-НДС!I8</f>
        <v>-2798857.0075637689</v>
      </c>
      <c r="J30" s="32">
        <f>-НДС!J8</f>
        <v>-2952828.1348972777</v>
      </c>
      <c r="K30" s="32">
        <f>-НДС!K8</f>
        <v>-3115266.9542442942</v>
      </c>
      <c r="L30" s="32">
        <f>-НДС!L8</f>
        <v>-3286639.2195971934</v>
      </c>
      <c r="M30" s="32">
        <f>-НДС!M8</f>
        <v>-3467436.3005915489</v>
      </c>
      <c r="N30" s="32">
        <f>-НДС!N8</f>
        <v>-3332572.7414286956</v>
      </c>
      <c r="O30" s="32">
        <f>-НДС!O8</f>
        <v>-3490913.2168895053</v>
      </c>
      <c r="P30" s="32">
        <f>-НДС!P8</f>
        <v>-3657961.8316826103</v>
      </c>
      <c r="Q30" s="7">
        <f>-НДС!Q8</f>
        <v>-3834197.5607761238</v>
      </c>
      <c r="R30" s="152">
        <f t="shared" si="8"/>
        <v>-32231833.356366254</v>
      </c>
      <c r="S30" s="46"/>
      <c r="T30" s="56">
        <f t="shared" si="7"/>
        <v>32231833.356366254</v>
      </c>
    </row>
    <row r="31" spans="1:20" s="5" customFormat="1">
      <c r="A31" s="1" t="s">
        <v>38</v>
      </c>
      <c r="B31" s="150">
        <f t="shared" ref="B31:J31" si="11">SUM(B22:B30)</f>
        <v>0</v>
      </c>
      <c r="C31" s="150">
        <f t="shared" si="11"/>
        <v>-1755882.3952419716</v>
      </c>
      <c r="D31" s="150">
        <f t="shared" si="11"/>
        <v>-3614922.7181880139</v>
      </c>
      <c r="E31" s="150">
        <f t="shared" si="11"/>
        <v>-3560765.0637451708</v>
      </c>
      <c r="F31" s="150">
        <f t="shared" si="11"/>
        <v>-3669859.2035940639</v>
      </c>
      <c r="G31" s="150">
        <f t="shared" si="11"/>
        <v>-3779284.8674570094</v>
      </c>
      <c r="H31" s="150">
        <f>SUM(H22:H30)</f>
        <v>-6189889.3315276522</v>
      </c>
      <c r="I31" s="150">
        <f t="shared" si="11"/>
        <v>-6815379.4499172401</v>
      </c>
      <c r="J31" s="150">
        <f t="shared" si="11"/>
        <v>-7097842.7192454617</v>
      </c>
      <c r="K31" s="150">
        <f t="shared" ref="K31:Q31" si="12">SUM(K22:K30)</f>
        <v>-7395840.7483968996</v>
      </c>
      <c r="L31" s="150">
        <f t="shared" si="12"/>
        <v>-7710227.9800934652</v>
      </c>
      <c r="M31" s="150">
        <f t="shared" si="12"/>
        <v>-8041905.8505803868</v>
      </c>
      <c r="N31" s="150">
        <f t="shared" si="12"/>
        <v>-8050874.6159874285</v>
      </c>
      <c r="O31" s="150">
        <f t="shared" si="12"/>
        <v>-8375127.625959645</v>
      </c>
      <c r="P31" s="150">
        <f t="shared" si="12"/>
        <v>-8717213.9646622837</v>
      </c>
      <c r="Q31" s="22">
        <f t="shared" si="12"/>
        <v>-9078114.4924803562</v>
      </c>
      <c r="R31" s="151">
        <f t="shared" ref="R31:R37" si="13">SUM(B31:Q31)</f>
        <v>-93853131.027077049</v>
      </c>
      <c r="S31" s="23"/>
      <c r="T31" s="56"/>
    </row>
    <row r="32" spans="1:20" s="5" customFormat="1" ht="28.8">
      <c r="A32" s="1" t="s">
        <v>39</v>
      </c>
      <c r="B32" s="150">
        <f t="shared" ref="B32:J32" si="14">B21+B31</f>
        <v>0</v>
      </c>
      <c r="C32" s="150">
        <f t="shared" si="14"/>
        <v>-4757220.0394666456</v>
      </c>
      <c r="D32" s="150">
        <f t="shared" si="14"/>
        <v>50883902.520336807</v>
      </c>
      <c r="E32" s="150">
        <f t="shared" si="14"/>
        <v>17520007.167929955</v>
      </c>
      <c r="F32" s="150">
        <f t="shared" si="14"/>
        <v>18580661.380467739</v>
      </c>
      <c r="G32" s="150">
        <f t="shared" si="14"/>
        <v>19695014.348728195</v>
      </c>
      <c r="H32" s="150">
        <f t="shared" si="14"/>
        <v>18575496.341547742</v>
      </c>
      <c r="I32" s="150">
        <f t="shared" si="14"/>
        <v>19312102.435177289</v>
      </c>
      <c r="J32" s="150">
        <f t="shared" si="14"/>
        <v>20466650.669529274</v>
      </c>
      <c r="K32" s="150">
        <f t="shared" ref="K32:Q32" si="15">K21+K31</f>
        <v>21684699.77676044</v>
      </c>
      <c r="L32" s="150">
        <f t="shared" si="15"/>
        <v>22969742.273947529</v>
      </c>
      <c r="M32" s="150">
        <f t="shared" si="15"/>
        <v>24325462.767432861</v>
      </c>
      <c r="N32" s="150">
        <f t="shared" si="15"/>
        <v>23057707.524578501</v>
      </c>
      <c r="O32" s="150">
        <f t="shared" si="15"/>
        <v>24211262.917565983</v>
      </c>
      <c r="P32" s="150">
        <f t="shared" si="15"/>
        <v>25428264.443985835</v>
      </c>
      <c r="Q32" s="22">
        <f t="shared" si="15"/>
        <v>26712201.613871973</v>
      </c>
      <c r="R32" s="151">
        <f t="shared" si="13"/>
        <v>328665956.14239347</v>
      </c>
      <c r="S32" s="23"/>
      <c r="T32" s="56"/>
    </row>
    <row r="33" spans="1:20" s="5" customFormat="1">
      <c r="A33" s="2" t="s">
        <v>90</v>
      </c>
      <c r="B33" s="155">
        <f>-SUMIF(Кредит!$B$1:$DX$1,ОПиУ!B1,Кредит!$B$6:$DX$6)</f>
        <v>0</v>
      </c>
      <c r="C33" s="155">
        <f>-SUMIF(Кредит!$B$1:$DX$1,ОПиУ!C1,Кредит!$B$6:$DX$6)</f>
        <v>0</v>
      </c>
      <c r="D33" s="155">
        <f>-SUMIF(Кредит!$B$1:$DX$1,ОПиУ!D1,Кредит!$B$6:$DX$6)</f>
        <v>0</v>
      </c>
      <c r="E33" s="155">
        <f>-SUMIF(Кредит!$B$1:$DX$1,ОПиУ!E1,Кредит!$B$6:$DX$6)</f>
        <v>-6343975.3916078499</v>
      </c>
      <c r="F33" s="155">
        <f>-SUMIF(Кредит!$B$1:$DX$1,ОПиУ!F1,Кредит!$B$6:$DX$6)</f>
        <v>-10875386.385613456</v>
      </c>
      <c r="G33" s="155">
        <f>-SUMIF(Кредит!$B$1:$DX$1,ОПиУ!G1,Кредит!$B$6:$DX$6)</f>
        <v>-10875386.385613456</v>
      </c>
      <c r="H33" s="155">
        <f>-SUMIF(Кредит!$B$1:$DX$1,ОПиУ!H1,Кредит!$B$6:$DX$6)</f>
        <v>-10875386.385613456</v>
      </c>
      <c r="I33" s="155">
        <f>-SUMIF(Кредит!$B$1:$DX$1,ОПиУ!I1,Кредит!$B$6:$DX$6)</f>
        <v>-4531410.9940056065</v>
      </c>
      <c r="J33" s="155">
        <f>-SUMIF(Кредит!$B$1:$DX$1,ОПиУ!J1,Кредит!$B$6:$DX$6)</f>
        <v>0</v>
      </c>
      <c r="K33" s="155">
        <f>-SUMIF(Кредит!$B$1:$DX$1,ОПиУ!K1,Кредит!$B$6:$DX$6)</f>
        <v>0</v>
      </c>
      <c r="L33" s="155">
        <f>-SUMIF(Кредит!$B$1:$DX$1,ОПиУ!L1,Кредит!$B$6:$DX$6)</f>
        <v>0</v>
      </c>
      <c r="M33" s="155">
        <f>-SUMIF(Кредит!$B$1:$DX$1,ОПиУ!M1,Кредит!$B$6:$DX$6)</f>
        <v>0</v>
      </c>
      <c r="N33" s="155">
        <f>-SUMIF(Кредит!$B$1:$DX$1,ОПиУ!N1,Кредит!$B$6:$DX$6)</f>
        <v>0</v>
      </c>
      <c r="O33" s="155">
        <f>-SUMIF(Кредит!$B$1:$DX$1,ОПиУ!O1,Кредит!$B$6:$DX$6)</f>
        <v>0</v>
      </c>
      <c r="P33" s="155">
        <f>-SUMIF(Кредит!$B$1:$DX$1,ОПиУ!P1,Кредит!$B$6:$DX$6)</f>
        <v>0</v>
      </c>
      <c r="Q33" s="21">
        <f>-SUMIF(Кредит!$B$1:$DX$1,ОПиУ!Q1,Кредит!$B$6:$DX$6)</f>
        <v>0</v>
      </c>
      <c r="R33" s="152">
        <f t="shared" si="13"/>
        <v>-43501545.542453825</v>
      </c>
      <c r="S33" s="46"/>
      <c r="T33" s="56">
        <f t="shared" si="7"/>
        <v>43501545.542453825</v>
      </c>
    </row>
    <row r="34" spans="1:20" s="5" customFormat="1">
      <c r="A34" s="2" t="s">
        <v>32</v>
      </c>
      <c r="B34" s="155">
        <f>-'CapEx и аморт.'!G33</f>
        <v>-3737152.6013270784</v>
      </c>
      <c r="C34" s="155">
        <f>-'CapEx и аморт.'!H33</f>
        <v>-6229187.1243818942</v>
      </c>
      <c r="D34" s="155">
        <f>-'CapEx и аморт.'!I33</f>
        <v>-9121221.6474367101</v>
      </c>
      <c r="E34" s="155">
        <f>-'CapEx и аморт.'!J33</f>
        <v>-9521221.6474367101</v>
      </c>
      <c r="F34" s="155">
        <f>-'CapEx и аморт.'!K33</f>
        <v>-9521221.6474367101</v>
      </c>
      <c r="G34" s="155">
        <f>-'CapEx и аморт.'!L33</f>
        <v>-9521221.6474367101</v>
      </c>
      <c r="H34" s="155">
        <f>-'CapEx и аморт.'!M33</f>
        <v>-9521221.6474367101</v>
      </c>
      <c r="I34" s="155">
        <f>-'CapEx и аморт.'!N33</f>
        <v>-9521221.6474367101</v>
      </c>
      <c r="J34" s="155">
        <f>-'CapEx и аморт.'!O33</f>
        <v>-9521221.6474367101</v>
      </c>
      <c r="K34" s="155">
        <f>-'CapEx и аморт.'!P33</f>
        <v>-9521221.6474367101</v>
      </c>
      <c r="L34" s="155">
        <f>-'CapEx и аморт.'!Q33</f>
        <v>-9521221.6474367101</v>
      </c>
      <c r="M34" s="155">
        <f>-'CapEx и аморт.'!W33</f>
        <v>0</v>
      </c>
      <c r="N34" s="155">
        <f>-'CapEx и аморт.'!X33</f>
        <v>0</v>
      </c>
      <c r="O34" s="155">
        <f>-'CapEx и аморт.'!Y33</f>
        <v>0</v>
      </c>
      <c r="P34" s="155">
        <f>-'CapEx и аморт.'!Z33</f>
        <v>0</v>
      </c>
      <c r="Q34" s="21">
        <f>-'CapEx и аморт.'!AA33</f>
        <v>0</v>
      </c>
      <c r="R34" s="152">
        <f t="shared" si="13"/>
        <v>-95257334.55263935</v>
      </c>
      <c r="S34" s="46"/>
      <c r="T34" s="56">
        <f t="shared" si="7"/>
        <v>95257334.55263935</v>
      </c>
    </row>
    <row r="35" spans="1:20" s="5" customFormat="1">
      <c r="A35" s="1" t="s">
        <v>40</v>
      </c>
      <c r="B35" s="150">
        <f t="shared" ref="B35:Q35" si="16">SUM(B32:B34)</f>
        <v>-3737152.6013270784</v>
      </c>
      <c r="C35" s="150">
        <f t="shared" si="16"/>
        <v>-10986407.16384854</v>
      </c>
      <c r="D35" s="150">
        <f t="shared" si="16"/>
        <v>41762680.872900099</v>
      </c>
      <c r="E35" s="150">
        <f t="shared" si="16"/>
        <v>1654810.128885394</v>
      </c>
      <c r="F35" s="150">
        <f t="shared" si="16"/>
        <v>-1815946.6525824275</v>
      </c>
      <c r="G35" s="150">
        <f t="shared" si="16"/>
        <v>-701593.68432197161</v>
      </c>
      <c r="H35" s="150">
        <f t="shared" si="16"/>
        <v>-1821111.691502424</v>
      </c>
      <c r="I35" s="150">
        <f t="shared" si="16"/>
        <v>5259469.7937349733</v>
      </c>
      <c r="J35" s="150">
        <f t="shared" si="16"/>
        <v>10945429.022092564</v>
      </c>
      <c r="K35" s="150">
        <f t="shared" si="16"/>
        <v>12163478.12932373</v>
      </c>
      <c r="L35" s="150">
        <f t="shared" si="16"/>
        <v>13448520.626510819</v>
      </c>
      <c r="M35" s="150">
        <f t="shared" si="16"/>
        <v>24325462.767432861</v>
      </c>
      <c r="N35" s="150">
        <f t="shared" si="16"/>
        <v>23057707.524578501</v>
      </c>
      <c r="O35" s="150">
        <f t="shared" si="16"/>
        <v>24211262.917565983</v>
      </c>
      <c r="P35" s="150">
        <f t="shared" si="16"/>
        <v>25428264.443985835</v>
      </c>
      <c r="Q35" s="22">
        <f t="shared" si="16"/>
        <v>26712201.613871973</v>
      </c>
      <c r="R35" s="151">
        <f t="shared" si="13"/>
        <v>189907076.04730031</v>
      </c>
      <c r="S35" s="23"/>
      <c r="T35" s="56"/>
    </row>
    <row r="36" spans="1:20">
      <c r="A36" s="2" t="s">
        <v>95</v>
      </c>
      <c r="B36" s="155">
        <f>-B35*Предпосылки!B9</f>
        <v>747430.52026541578</v>
      </c>
      <c r="C36" s="155">
        <f>-C35*Предпосылки!B9</f>
        <v>2197281.4327697079</v>
      </c>
      <c r="D36" s="155">
        <f>-D35*Предпосылки!C9</f>
        <v>-8352536.1745800199</v>
      </c>
      <c r="E36" s="155">
        <f>-E35*Предпосылки!D9</f>
        <v>-330962.02577707882</v>
      </c>
      <c r="F36" s="155">
        <f>-F35*Предпосылки!E9</f>
        <v>363189.3305164855</v>
      </c>
      <c r="G36" s="155">
        <f>-G35*Предпосылки!F9</f>
        <v>140318.73686439433</v>
      </c>
      <c r="H36" s="155">
        <f>-H35*Предпосылки!G9</f>
        <v>364222.33830048481</v>
      </c>
      <c r="I36" s="155">
        <f>-I35*Предпосылки!H9</f>
        <v>-1051893.9587469946</v>
      </c>
      <c r="J36" s="155">
        <f>-J35*Предпосылки!I9</f>
        <v>-2189085.8044185131</v>
      </c>
      <c r="K36" s="155">
        <f>-K35*Предпосылки!J9</f>
        <v>-2432695.625864746</v>
      </c>
      <c r="L36" s="155">
        <f>-L35*Предпосылки!K9</f>
        <v>-2689704.1253021639</v>
      </c>
      <c r="M36" s="155">
        <f>-M35*Предпосылки!L9</f>
        <v>-4865092.5534865726</v>
      </c>
      <c r="N36" s="155">
        <f>-N35*Предпосылки!M9</f>
        <v>-4611541.5049157003</v>
      </c>
      <c r="O36" s="155">
        <f>-O35*Предпосылки!N9</f>
        <v>-4842252.5835131966</v>
      </c>
      <c r="P36" s="155">
        <f>-P35*Предпосылки!O9</f>
        <v>-5085652.8887971677</v>
      </c>
      <c r="Q36" s="21">
        <f>-Q35*Предпосылки!P9</f>
        <v>-5342440.3227743953</v>
      </c>
      <c r="R36" s="152">
        <f t="shared" si="13"/>
        <v>-37981415.209460057</v>
      </c>
      <c r="S36" s="46"/>
      <c r="T36" s="56">
        <f t="shared" si="7"/>
        <v>37981415.209460057</v>
      </c>
    </row>
    <row r="37" spans="1:20" s="5" customFormat="1">
      <c r="A37" s="1" t="s">
        <v>41</v>
      </c>
      <c r="B37" s="150">
        <f>SUM(B35:B36)</f>
        <v>-2989722.0810616626</v>
      </c>
      <c r="C37" s="150">
        <f t="shared" ref="C37:L37" si="17">SUM(C35:C36)</f>
        <v>-8789125.7310788315</v>
      </c>
      <c r="D37" s="150">
        <f t="shared" si="17"/>
        <v>33410144.69832008</v>
      </c>
      <c r="E37" s="150">
        <f t="shared" si="17"/>
        <v>1323848.1031083153</v>
      </c>
      <c r="F37" s="150">
        <f t="shared" si="17"/>
        <v>-1452757.322065942</v>
      </c>
      <c r="G37" s="150">
        <f t="shared" si="17"/>
        <v>-561274.94745757733</v>
      </c>
      <c r="H37" s="150">
        <f t="shared" si="17"/>
        <v>-1456889.3532019393</v>
      </c>
      <c r="I37" s="150">
        <f t="shared" si="17"/>
        <v>4207575.8349879785</v>
      </c>
      <c r="J37" s="150">
        <f t="shared" si="17"/>
        <v>8756343.2176740505</v>
      </c>
      <c r="K37" s="150">
        <f t="shared" si="17"/>
        <v>9730782.5034589842</v>
      </c>
      <c r="L37" s="150">
        <f t="shared" si="17"/>
        <v>10758816.501208656</v>
      </c>
      <c r="M37" s="150">
        <f>SUM(M35:M36)</f>
        <v>19460370.21394629</v>
      </c>
      <c r="N37" s="150">
        <f>SUM(N35:N36)</f>
        <v>18446166.019662801</v>
      </c>
      <c r="O37" s="150">
        <f>SUM(O35:O36)</f>
        <v>19369010.334052786</v>
      </c>
      <c r="P37" s="150">
        <f>SUM(P35:P36)</f>
        <v>20342611.555188667</v>
      </c>
      <c r="Q37" s="22">
        <f>SUM(Q35:Q36)</f>
        <v>21369761.291097578</v>
      </c>
      <c r="R37" s="150">
        <f t="shared" si="13"/>
        <v>151925660.83784023</v>
      </c>
      <c r="S37" s="22"/>
      <c r="T37" s="56">
        <f>R37</f>
        <v>151925660.83784023</v>
      </c>
    </row>
    <row r="38" spans="1:20" s="5" customFormat="1">
      <c r="A38" s="62" t="s">
        <v>91</v>
      </c>
      <c r="B38" s="156">
        <f>B37</f>
        <v>-2989722.0810616626</v>
      </c>
      <c r="C38" s="156">
        <f t="shared" ref="C38:L38" si="18">B38+C37</f>
        <v>-11778847.812140495</v>
      </c>
      <c r="D38" s="156">
        <f t="shared" si="18"/>
        <v>21631296.886179585</v>
      </c>
      <c r="E38" s="156">
        <f t="shared" si="18"/>
        <v>22955144.989287902</v>
      </c>
      <c r="F38" s="156">
        <f t="shared" si="18"/>
        <v>21502387.66722196</v>
      </c>
      <c r="G38" s="156">
        <f t="shared" si="18"/>
        <v>20941112.719764382</v>
      </c>
      <c r="H38" s="156">
        <f t="shared" si="18"/>
        <v>19484223.366562441</v>
      </c>
      <c r="I38" s="156">
        <f t="shared" si="18"/>
        <v>23691799.20155042</v>
      </c>
      <c r="J38" s="156">
        <f t="shared" si="18"/>
        <v>32448142.419224471</v>
      </c>
      <c r="K38" s="156">
        <f t="shared" si="18"/>
        <v>42178924.922683455</v>
      </c>
      <c r="L38" s="156">
        <f t="shared" si="18"/>
        <v>52937741.423892111</v>
      </c>
      <c r="M38" s="156">
        <f>L38+M37</f>
        <v>72398111.637838393</v>
      </c>
      <c r="N38" s="156">
        <f>M38+N37</f>
        <v>90844277.657501191</v>
      </c>
      <c r="O38" s="156">
        <f>N38+O37</f>
        <v>110213287.99155398</v>
      </c>
      <c r="P38" s="156">
        <f>O38+P37</f>
        <v>130555899.54674265</v>
      </c>
      <c r="Q38" s="76">
        <f>P38+Q37</f>
        <v>151925660.83784023</v>
      </c>
      <c r="R38" s="151"/>
      <c r="S38" s="23"/>
      <c r="T38" s="56"/>
    </row>
    <row r="39" spans="1:20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7"/>
    </row>
    <row r="40" spans="1:20">
      <c r="A40" s="64" t="s">
        <v>42</v>
      </c>
      <c r="B40" s="37">
        <f t="shared" ref="B40:L40" si="19">B1</f>
        <v>2023</v>
      </c>
      <c r="C40" s="37">
        <f t="shared" si="19"/>
        <v>2024</v>
      </c>
      <c r="D40" s="37">
        <f t="shared" si="19"/>
        <v>2025</v>
      </c>
      <c r="E40" s="37">
        <f t="shared" si="19"/>
        <v>2026</v>
      </c>
      <c r="F40" s="37">
        <f t="shared" si="19"/>
        <v>2027</v>
      </c>
      <c r="G40" s="37">
        <f t="shared" si="19"/>
        <v>2028</v>
      </c>
      <c r="H40" s="37">
        <f t="shared" si="19"/>
        <v>2029</v>
      </c>
      <c r="I40" s="37">
        <f t="shared" si="19"/>
        <v>2030</v>
      </c>
      <c r="J40" s="37">
        <f t="shared" si="19"/>
        <v>2031</v>
      </c>
      <c r="K40" s="37">
        <f t="shared" si="19"/>
        <v>2032</v>
      </c>
      <c r="L40" s="37">
        <f t="shared" si="19"/>
        <v>2033</v>
      </c>
      <c r="M40" s="37">
        <f t="shared" ref="M40:R40" si="20">M1</f>
        <v>2034</v>
      </c>
      <c r="N40" s="37">
        <f t="shared" si="20"/>
        <v>2035</v>
      </c>
      <c r="O40" s="37">
        <f t="shared" si="20"/>
        <v>2036</v>
      </c>
      <c r="P40" s="37">
        <f t="shared" si="20"/>
        <v>2037</v>
      </c>
      <c r="Q40" s="37">
        <f t="shared" si="20"/>
        <v>2038</v>
      </c>
      <c r="R40" s="29" t="str">
        <f t="shared" si="20"/>
        <v>Итого 2023-2038</v>
      </c>
      <c r="S40" s="29"/>
      <c r="T40" s="7"/>
    </row>
    <row r="41" spans="1:20">
      <c r="A41" s="27" t="s">
        <v>43</v>
      </c>
      <c r="B41" s="38"/>
      <c r="C41" s="38">
        <f t="shared" ref="C41:L41" si="21">C21/C3</f>
        <v>-4.4992254692325968</v>
      </c>
      <c r="D41" s="38">
        <f t="shared" si="21"/>
        <v>1.1485903908925861</v>
      </c>
      <c r="E41" s="38">
        <f t="shared" si="21"/>
        <v>0.74739156987171351</v>
      </c>
      <c r="F41" s="38">
        <f t="shared" si="21"/>
        <v>0.74747902630083862</v>
      </c>
      <c r="G41" s="38">
        <f t="shared" si="21"/>
        <v>0.74747902630083873</v>
      </c>
      <c r="H41" s="38">
        <f t="shared" si="21"/>
        <v>0.74747902630083884</v>
      </c>
      <c r="I41" s="38">
        <f t="shared" si="21"/>
        <v>0.74747902630083873</v>
      </c>
      <c r="J41" s="38">
        <f t="shared" si="21"/>
        <v>0.74747902630083873</v>
      </c>
      <c r="K41" s="38">
        <f t="shared" si="21"/>
        <v>0.74747902630083873</v>
      </c>
      <c r="L41" s="38">
        <f t="shared" si="21"/>
        <v>0.74747902630083873</v>
      </c>
      <c r="M41" s="38">
        <f t="shared" ref="M41:R41" si="22">M21/M3</f>
        <v>0.74747902630083873</v>
      </c>
      <c r="N41" s="38">
        <f t="shared" si="22"/>
        <v>0.72948359383054384</v>
      </c>
      <c r="O41" s="38">
        <f t="shared" si="22"/>
        <v>0.72807432499892888</v>
      </c>
      <c r="P41" s="38">
        <f t="shared" si="22"/>
        <v>0.72672490284620062</v>
      </c>
      <c r="Q41" s="38">
        <f t="shared" si="22"/>
        <v>0.72543340747326179</v>
      </c>
      <c r="R41" s="61">
        <f t="shared" si="22"/>
        <v>0.7690121766621788</v>
      </c>
      <c r="S41" s="61"/>
    </row>
    <row r="42" spans="1:20">
      <c r="A42" s="27" t="s">
        <v>44</v>
      </c>
      <c r="B42" s="38"/>
      <c r="C42" s="38">
        <f t="shared" ref="C42:L42" si="23">-C14/C3</f>
        <v>5.4992254692325968</v>
      </c>
      <c r="D42" s="38">
        <f t="shared" si="23"/>
        <v>0.16714139475273651</v>
      </c>
      <c r="E42" s="38">
        <f t="shared" si="23"/>
        <v>0.25260843012828638</v>
      </c>
      <c r="F42" s="38">
        <f t="shared" si="23"/>
        <v>0.25252097369916132</v>
      </c>
      <c r="G42" s="38">
        <f t="shared" si="23"/>
        <v>0.25252097369916127</v>
      </c>
      <c r="H42" s="38">
        <f t="shared" si="23"/>
        <v>0.25252097369916121</v>
      </c>
      <c r="I42" s="38">
        <f t="shared" si="23"/>
        <v>0.25252097369916127</v>
      </c>
      <c r="J42" s="38">
        <f t="shared" si="23"/>
        <v>0.25252097369916127</v>
      </c>
      <c r="K42" s="38">
        <f t="shared" si="23"/>
        <v>0.25252097369916132</v>
      </c>
      <c r="L42" s="38">
        <f t="shared" si="23"/>
        <v>0.25252097369916132</v>
      </c>
      <c r="M42" s="38">
        <f t="shared" ref="M42:R42" si="24">-M14/M3</f>
        <v>0.25252097369916127</v>
      </c>
      <c r="N42" s="38">
        <f t="shared" si="24"/>
        <v>0.27051640616945621</v>
      </c>
      <c r="O42" s="38">
        <f t="shared" si="24"/>
        <v>0.27192567500107118</v>
      </c>
      <c r="P42" s="38">
        <f t="shared" si="24"/>
        <v>0.27327509715379944</v>
      </c>
      <c r="Q42" s="38">
        <f t="shared" si="24"/>
        <v>0.27456659252673821</v>
      </c>
      <c r="R42" s="61">
        <f t="shared" si="24"/>
        <v>0.25825418253701288</v>
      </c>
      <c r="S42" s="61"/>
    </row>
    <row r="43" spans="1:20">
      <c r="A43" s="27" t="s">
        <v>45</v>
      </c>
      <c r="B43" s="38"/>
      <c r="C43" s="38">
        <f t="shared" ref="C43:L43" si="25">(-C31-C36)/C3</f>
        <v>-0.66168956217272634</v>
      </c>
      <c r="D43" s="38">
        <f t="shared" si="25"/>
        <v>0.25222026763833155</v>
      </c>
      <c r="E43" s="38">
        <f t="shared" si="25"/>
        <v>0.13797616078693248</v>
      </c>
      <c r="F43" s="38">
        <f t="shared" si="25"/>
        <v>0.111083530279144</v>
      </c>
      <c r="G43" s="38">
        <f t="shared" si="25"/>
        <v>0.11587357028156398</v>
      </c>
      <c r="H43" s="38">
        <f t="shared" si="25"/>
        <v>0.17583267020891191</v>
      </c>
      <c r="I43" s="38">
        <f t="shared" si="25"/>
        <v>0.22507419172705118</v>
      </c>
      <c r="J43" s="38">
        <f t="shared" si="25"/>
        <v>0.25183790582636939</v>
      </c>
      <c r="K43" s="38">
        <f t="shared" si="25"/>
        <v>0.25263026980671027</v>
      </c>
      <c r="L43" s="38">
        <f t="shared" si="25"/>
        <v>0.25338131228181504</v>
      </c>
      <c r="M43" s="38">
        <f t="shared" ref="M43:R43" si="26">(-M31-M36)/M3</f>
        <v>0.29806904334414314</v>
      </c>
      <c r="N43" s="38">
        <f t="shared" si="26"/>
        <v>0.29692850598963966</v>
      </c>
      <c r="O43" s="38">
        <f t="shared" si="26"/>
        <v>0.29531454738481666</v>
      </c>
      <c r="P43" s="38">
        <f t="shared" si="26"/>
        <v>0.29376911792042171</v>
      </c>
      <c r="Q43" s="38">
        <f t="shared" si="26"/>
        <v>0.29229002018868688</v>
      </c>
      <c r="R43" s="61">
        <f t="shared" si="26"/>
        <v>0.2399474353686796</v>
      </c>
      <c r="S43" s="61"/>
    </row>
    <row r="44" spans="1:20">
      <c r="A44" s="27" t="s">
        <v>46</v>
      </c>
      <c r="B44" s="38"/>
      <c r="C44" s="38">
        <f t="shared" ref="C44:R44" si="27">C42+C43</f>
        <v>4.8375359070598707</v>
      </c>
      <c r="D44" s="38">
        <f t="shared" si="27"/>
        <v>0.41936166239106809</v>
      </c>
      <c r="E44" s="38">
        <f t="shared" si="27"/>
        <v>0.39058459091521885</v>
      </c>
      <c r="F44" s="38">
        <f t="shared" si="27"/>
        <v>0.36360450397830535</v>
      </c>
      <c r="G44" s="38">
        <f t="shared" si="27"/>
        <v>0.36839454398072524</v>
      </c>
      <c r="H44" s="38">
        <f t="shared" si="27"/>
        <v>0.42835364390807312</v>
      </c>
      <c r="I44" s="38">
        <f t="shared" si="27"/>
        <v>0.47759516542621244</v>
      </c>
      <c r="J44" s="38">
        <f t="shared" si="27"/>
        <v>0.50435887952553071</v>
      </c>
      <c r="K44" s="38">
        <f t="shared" si="27"/>
        <v>0.50515124350587159</v>
      </c>
      <c r="L44" s="38">
        <f t="shared" si="27"/>
        <v>0.50590228598097631</v>
      </c>
      <c r="M44" s="38">
        <f t="shared" si="27"/>
        <v>0.55059001704330446</v>
      </c>
      <c r="N44" s="38">
        <f t="shared" si="27"/>
        <v>0.56744491215909587</v>
      </c>
      <c r="O44" s="38">
        <f t="shared" si="27"/>
        <v>0.56724022238588789</v>
      </c>
      <c r="P44" s="38">
        <f t="shared" si="27"/>
        <v>0.5670442150742212</v>
      </c>
      <c r="Q44" s="38">
        <f t="shared" si="27"/>
        <v>0.56685661271542509</v>
      </c>
      <c r="R44" s="34">
        <f t="shared" si="27"/>
        <v>0.49820161790569251</v>
      </c>
      <c r="S44" s="34"/>
    </row>
    <row r="45" spans="1:20">
      <c r="A45" s="27" t="s">
        <v>47</v>
      </c>
      <c r="B45" s="38"/>
      <c r="C45" s="38">
        <f t="shared" ref="C45:L45" si="28">C37/C3</f>
        <v>-13.175544716753386</v>
      </c>
      <c r="D45" s="38">
        <f t="shared" si="28"/>
        <v>0.70413574954813185</v>
      </c>
      <c r="E45" s="38">
        <f t="shared" si="28"/>
        <v>4.6935325764163968E-2</v>
      </c>
      <c r="F45" s="38">
        <f t="shared" si="28"/>
        <v>-4.8803605490790436E-2</v>
      </c>
      <c r="G45" s="38">
        <f t="shared" si="28"/>
        <v>-1.7872365319573688E-2</v>
      </c>
      <c r="H45" s="38">
        <f t="shared" si="28"/>
        <v>-4.3972431906981552E-2</v>
      </c>
      <c r="I45" s="38">
        <f t="shared" si="28"/>
        <v>0.12037419840363515</v>
      </c>
      <c r="J45" s="38">
        <f t="shared" si="28"/>
        <v>0.23744978041092488</v>
      </c>
      <c r="K45" s="38">
        <f t="shared" si="28"/>
        <v>0.2501176284718114</v>
      </c>
      <c r="L45" s="38">
        <f t="shared" si="28"/>
        <v>0.26212508082251468</v>
      </c>
      <c r="M45" s="38">
        <f t="shared" ref="M45:R45" si="29">M37/M3</f>
        <v>0.4494099829566956</v>
      </c>
      <c r="N45" s="38">
        <f t="shared" si="29"/>
        <v>0.43255508784090418</v>
      </c>
      <c r="O45" s="38">
        <f t="shared" si="29"/>
        <v>0.43275977761411222</v>
      </c>
      <c r="P45" s="38">
        <f t="shared" si="29"/>
        <v>0.43295578492577891</v>
      </c>
      <c r="Q45" s="38">
        <f t="shared" si="29"/>
        <v>0.43314338728457491</v>
      </c>
      <c r="R45" s="61">
        <f t="shared" si="29"/>
        <v>0.27651456864216495</v>
      </c>
      <c r="S45" s="61"/>
    </row>
    <row r="46" spans="1:20">
      <c r="A46" s="28" t="s">
        <v>48</v>
      </c>
      <c r="B46" s="27"/>
      <c r="C46" s="27">
        <f t="shared" ref="C46:L46" si="30">C3+C14</f>
        <v>-3001337.6442246735</v>
      </c>
      <c r="D46" s="27">
        <f t="shared" si="30"/>
        <v>39517843.728867583</v>
      </c>
      <c r="E46" s="27">
        <f t="shared" si="30"/>
        <v>21080772.231675126</v>
      </c>
      <c r="F46" s="27">
        <f t="shared" si="30"/>
        <v>22250520.584061801</v>
      </c>
      <c r="G46" s="27">
        <f t="shared" si="30"/>
        <v>23474299.216185205</v>
      </c>
      <c r="H46" s="27">
        <f t="shared" si="30"/>
        <v>24765385.673075397</v>
      </c>
      <c r="I46" s="27">
        <f t="shared" si="30"/>
        <v>26127481.885094531</v>
      </c>
      <c r="J46" s="27">
        <f t="shared" si="30"/>
        <v>27564493.388774738</v>
      </c>
      <c r="K46" s="27">
        <f t="shared" si="30"/>
        <v>29080540.52515734</v>
      </c>
      <c r="L46" s="27">
        <f t="shared" si="30"/>
        <v>30679970.254040994</v>
      </c>
      <c r="M46" s="27">
        <f t="shared" ref="M46:R46" si="31">M3+M14</f>
        <v>32367368.618013248</v>
      </c>
      <c r="N46" s="27">
        <f t="shared" si="31"/>
        <v>31108582.140565928</v>
      </c>
      <c r="O46" s="27">
        <f t="shared" si="31"/>
        <v>32586390.543525629</v>
      </c>
      <c r="P46" s="27">
        <f t="shared" si="31"/>
        <v>34145478.408648118</v>
      </c>
      <c r="Q46" s="27">
        <f t="shared" si="31"/>
        <v>35790316.106352329</v>
      </c>
      <c r="R46" s="60">
        <f t="shared" si="31"/>
        <v>407538105.65981334</v>
      </c>
      <c r="S46" s="60"/>
    </row>
    <row r="47" spans="1:20">
      <c r="A47" s="28" t="s">
        <v>49</v>
      </c>
      <c r="B47" s="38"/>
      <c r="C47" s="38">
        <f t="shared" ref="C47:L47" si="32">C46/C3</f>
        <v>-4.4992254692325968</v>
      </c>
      <c r="D47" s="38">
        <f t="shared" si="32"/>
        <v>0.83285860524726341</v>
      </c>
      <c r="E47" s="38">
        <f t="shared" si="32"/>
        <v>0.74739156987171351</v>
      </c>
      <c r="F47" s="38">
        <f t="shared" si="32"/>
        <v>0.74747902630083862</v>
      </c>
      <c r="G47" s="38">
        <f t="shared" si="32"/>
        <v>0.74747902630083873</v>
      </c>
      <c r="H47" s="38">
        <f t="shared" si="32"/>
        <v>0.74747902630083884</v>
      </c>
      <c r="I47" s="38">
        <f t="shared" si="32"/>
        <v>0.74747902630083873</v>
      </c>
      <c r="J47" s="38">
        <f t="shared" si="32"/>
        <v>0.74747902630083873</v>
      </c>
      <c r="K47" s="38">
        <f t="shared" si="32"/>
        <v>0.74747902630083873</v>
      </c>
      <c r="L47" s="38">
        <f t="shared" si="32"/>
        <v>0.74747902630083873</v>
      </c>
      <c r="M47" s="38">
        <f t="shared" ref="M47:R47" si="33">M46/M3</f>
        <v>0.74747902630083873</v>
      </c>
      <c r="N47" s="38">
        <f t="shared" si="33"/>
        <v>0.72948359383054384</v>
      </c>
      <c r="O47" s="38">
        <f t="shared" si="33"/>
        <v>0.72807432499892888</v>
      </c>
      <c r="P47" s="38">
        <f t="shared" si="33"/>
        <v>0.72672490284620062</v>
      </c>
      <c r="Q47" s="38">
        <f t="shared" si="33"/>
        <v>0.72543340747326179</v>
      </c>
      <c r="R47" s="61">
        <f t="shared" si="33"/>
        <v>0.74174581746298718</v>
      </c>
      <c r="S47" s="61"/>
    </row>
    <row r="48" spans="1:20">
      <c r="A48" s="28" t="s">
        <v>50</v>
      </c>
      <c r="B48" s="27"/>
      <c r="C48" s="27">
        <f t="shared" ref="C48:R48" si="34">-C31/C47</f>
        <v>-390263.25914301444</v>
      </c>
      <c r="D48" s="27">
        <f t="shared" si="34"/>
        <v>4340379.862095315</v>
      </c>
      <c r="E48" s="27">
        <f t="shared" si="34"/>
        <v>4764256.3915409967</v>
      </c>
      <c r="F48" s="27">
        <f t="shared" si="34"/>
        <v>4909648.3974348363</v>
      </c>
      <c r="G48" s="27">
        <f t="shared" si="34"/>
        <v>5056041.3529729676</v>
      </c>
      <c r="H48" s="27">
        <f t="shared" si="34"/>
        <v>8281020.7560745655</v>
      </c>
      <c r="I48" s="27">
        <f t="shared" si="34"/>
        <v>9117820.3134949859</v>
      </c>
      <c r="J48" s="27">
        <f t="shared" si="34"/>
        <v>9495708.1998295225</v>
      </c>
      <c r="K48" s="27">
        <f t="shared" si="34"/>
        <v>9894378.9566883277</v>
      </c>
      <c r="L48" s="27">
        <f t="shared" si="34"/>
        <v>10314975.68333151</v>
      </c>
      <c r="M48" s="27">
        <f>-M31/M47</f>
        <v>10758704.348372916</v>
      </c>
      <c r="N48" s="27">
        <f>-N31/N47</f>
        <v>11036402.57858577</v>
      </c>
      <c r="O48" s="27">
        <f>-O31/O47</f>
        <v>11503121.780831877</v>
      </c>
      <c r="P48" s="27">
        <f>-P31/P47</f>
        <v>11995204.692341661</v>
      </c>
      <c r="Q48" s="27">
        <f>-Q31/Q47</f>
        <v>12514056.285469538</v>
      </c>
      <c r="R48" s="39">
        <f t="shared" si="34"/>
        <v>126530044.14380844</v>
      </c>
      <c r="S48" s="39"/>
    </row>
    <row r="49" spans="1:19">
      <c r="A49" s="28" t="s">
        <v>51</v>
      </c>
      <c r="B49" s="38"/>
      <c r="C49" s="38">
        <f t="shared" ref="C49:L49" si="35">C3/C48</f>
        <v>-1.7093044798202843</v>
      </c>
      <c r="D49" s="38">
        <f t="shared" si="35"/>
        <v>10.931864056190935</v>
      </c>
      <c r="E49" s="38">
        <f t="shared" si="35"/>
        <v>5.9202929298296976</v>
      </c>
      <c r="F49" s="38">
        <f t="shared" si="35"/>
        <v>6.0630447517634547</v>
      </c>
      <c r="G49" s="38">
        <f t="shared" si="35"/>
        <v>6.2113071756828173</v>
      </c>
      <c r="H49" s="38">
        <f t="shared" si="35"/>
        <v>4.0009415914651498</v>
      </c>
      <c r="I49" s="38">
        <f t="shared" si="35"/>
        <v>3.833606342404281</v>
      </c>
      <c r="J49" s="38">
        <f t="shared" si="35"/>
        <v>3.8835029852147795</v>
      </c>
      <c r="K49" s="38">
        <f t="shared" si="35"/>
        <v>3.9320128048269227</v>
      </c>
      <c r="L49" s="38">
        <f t="shared" si="35"/>
        <v>3.979126211734803</v>
      </c>
      <c r="M49" s="38">
        <f t="shared" ref="M49:R49" si="36">M3/M48</f>
        <v>4.0248380445385701</v>
      </c>
      <c r="N49" s="38">
        <f t="shared" si="36"/>
        <v>3.8640003259758262</v>
      </c>
      <c r="O49" s="38">
        <f t="shared" si="36"/>
        <v>3.8908530113046234</v>
      </c>
      <c r="P49" s="38">
        <f t="shared" si="36"/>
        <v>3.9170173575028175</v>
      </c>
      <c r="Q49" s="38">
        <f t="shared" si="36"/>
        <v>3.9424834458739642</v>
      </c>
      <c r="R49" s="61">
        <f t="shared" si="36"/>
        <v>4.3422963219227793</v>
      </c>
      <c r="S49" s="61"/>
    </row>
    <row r="51" spans="1:19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</sheetData>
  <conditionalFormatting sqref="B21:Q21 B37:S39">
    <cfRule type="cellIs" dxfId="3" priority="39" operator="lessThan">
      <formula>0</formula>
    </cfRule>
    <cfRule type="cellIs" dxfId="2" priority="40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Предпосылки</vt:lpstr>
      <vt:lpstr>CapEx и аморт.</vt:lpstr>
      <vt:lpstr>Календарь</vt:lpstr>
      <vt:lpstr>Цены</vt:lpstr>
      <vt:lpstr>Операции</vt:lpstr>
      <vt:lpstr>НДС</vt:lpstr>
      <vt:lpstr>Кредит</vt:lpstr>
      <vt:lpstr>ФОТ</vt:lpstr>
      <vt:lpstr>ОПиУ</vt:lpstr>
      <vt:lpstr>ПДДС</vt:lpstr>
      <vt:lpstr>ДДП</vt:lpstr>
      <vt:lpstr>Графика</vt:lpstr>
    </vt:vector>
  </TitlesOfParts>
  <Manager>Murat Kastayev</Manager>
  <Company>DAMU Capital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DAMU Capital Management</dc:creator>
  <dc:description>www.damucapital.kz</dc:description>
  <cp:lastModifiedBy>Murat Kastayev</cp:lastModifiedBy>
  <cp:lastPrinted>2017-06-30T02:42:51Z</cp:lastPrinted>
  <dcterms:created xsi:type="dcterms:W3CDTF">2013-10-24T18:47:46Z</dcterms:created>
  <dcterms:modified xsi:type="dcterms:W3CDTF">2023-09-20T17:06:33Z</dcterms:modified>
</cp:coreProperties>
</file>