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ownloads\Telegram Desktop\РАУНД ИНВЕСТИЦИИ\"/>
    </mc:Choice>
  </mc:AlternateContent>
  <xr:revisionPtr revIDLastSave="0" documentId="13_ncr:1000001_{F817EAD1-6BFE-A94F-B179-3A98580EE68D}" xr6:coauthVersionLast="47" xr6:coauthVersionMax="47" xr10:uidLastSave="{00000000-0000-0000-0000-000000000000}"/>
  <bookViews>
    <workbookView xWindow="0" yWindow="0" windowWidth="20490" windowHeight="7245" firstSheet="2" activeTab="5" xr2:uid="{00000000-000D-0000-FFFF-FFFF00000000}"/>
  </bookViews>
  <sheets>
    <sheet name="ДАННЫЕ ИСХОДНЫЕ" sheetId="1" r:id="rId1"/>
    <sheet name="ЗАКУП" sheetId="4" r:id="rId2"/>
    <sheet name="ДАННЫЕ СПРАВОЧНЫЕ" sheetId="2" r:id="rId3"/>
    <sheet name="КАЛЬКУЛЯЦИЯ ПАРТИИ ТОВАРОВ" sheetId="3" r:id="rId4"/>
    <sheet name="ФИН ЗАЕМ" sheetId="5" r:id="rId5"/>
    <sheet name="CASH FLOW" sheetId="6" r:id="rId6"/>
    <sheet name="P&amp;L" sheetId="7" r:id="rId7"/>
    <sheet name="ФИН. ПОКАЗАТЕЛИ" sheetId="8" r:id="rId8"/>
    <sheet name="ИНВЕСТ. ПОКАЗАТЕЛИ" sheetId="9" r:id="rId9"/>
    <sheet name="НАЛОГОВАЯ НАГРУЗКА" sheetId="10" r:id="rId10"/>
    <sheet name="СХЕМЫ СТРАТЕГИИ ПО РАЗВИТИЮ" sheetId="11" r:id="rId11"/>
    <sheet name="Курсы" sheetId="12" state="hidden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2" l="1"/>
  <c r="D34" i="12"/>
  <c r="C34" i="12"/>
  <c r="B34" i="12"/>
  <c r="E33" i="12"/>
  <c r="D33" i="12"/>
  <c r="C33" i="12"/>
  <c r="B33" i="12"/>
  <c r="E32" i="12"/>
  <c r="D32" i="12"/>
  <c r="C32" i="12"/>
  <c r="B32" i="12"/>
  <c r="E31" i="12"/>
  <c r="D31" i="12"/>
  <c r="C31" i="12"/>
  <c r="B31" i="12"/>
  <c r="E30" i="12"/>
  <c r="D30" i="12"/>
  <c r="C30" i="12"/>
  <c r="B30" i="12"/>
  <c r="E29" i="12"/>
  <c r="D29" i="12"/>
  <c r="C29" i="12"/>
  <c r="B29" i="12"/>
  <c r="E28" i="12"/>
  <c r="D28" i="12"/>
  <c r="C28" i="12"/>
  <c r="B28" i="12"/>
  <c r="E27" i="12"/>
  <c r="D27" i="12"/>
  <c r="C27" i="12"/>
  <c r="B27" i="12"/>
  <c r="E26" i="12"/>
  <c r="D26" i="12"/>
  <c r="C26" i="12"/>
  <c r="B26" i="12"/>
  <c r="E25" i="12"/>
  <c r="D25" i="12"/>
  <c r="C25" i="12"/>
  <c r="B25" i="12"/>
  <c r="E24" i="12"/>
  <c r="D24" i="12"/>
  <c r="C24" i="12"/>
  <c r="B24" i="12"/>
  <c r="E23" i="12"/>
  <c r="D23" i="12"/>
  <c r="C23" i="12"/>
  <c r="B23" i="12"/>
  <c r="E22" i="12"/>
  <c r="D22" i="12"/>
  <c r="C22" i="12"/>
  <c r="B22" i="12"/>
  <c r="E21" i="12"/>
  <c r="D21" i="12"/>
  <c r="C21" i="12"/>
  <c r="B21" i="12"/>
  <c r="E20" i="12"/>
  <c r="D20" i="12"/>
  <c r="C20" i="12"/>
  <c r="B20" i="12"/>
  <c r="E19" i="12"/>
  <c r="D19" i="12"/>
  <c r="C19" i="12"/>
  <c r="B19" i="12"/>
  <c r="E18" i="12"/>
  <c r="D18" i="12"/>
  <c r="C18" i="12"/>
  <c r="B18" i="12"/>
  <c r="E17" i="12"/>
  <c r="D17" i="12"/>
  <c r="C17" i="12"/>
  <c r="B17" i="12"/>
  <c r="E16" i="12"/>
  <c r="D16" i="12"/>
  <c r="C16" i="12"/>
  <c r="B16" i="12"/>
  <c r="E15" i="12"/>
  <c r="D15" i="12"/>
  <c r="C15" i="12"/>
  <c r="B15" i="12"/>
  <c r="E14" i="12"/>
  <c r="D14" i="12"/>
  <c r="C14" i="12"/>
  <c r="B14" i="12"/>
  <c r="E13" i="12"/>
  <c r="D13" i="12"/>
  <c r="C13" i="12"/>
  <c r="B13" i="12"/>
  <c r="E12" i="12"/>
  <c r="D12" i="12"/>
  <c r="C12" i="12"/>
  <c r="B12" i="12"/>
  <c r="E11" i="12"/>
  <c r="D11" i="12"/>
  <c r="C11" i="12"/>
  <c r="B11" i="12"/>
  <c r="E10" i="12"/>
  <c r="D10" i="12"/>
  <c r="C10" i="12"/>
  <c r="B10" i="12"/>
  <c r="E9" i="12"/>
  <c r="D9" i="12"/>
  <c r="C9" i="12"/>
  <c r="B9" i="12"/>
  <c r="E8" i="12"/>
  <c r="D8" i="12"/>
  <c r="C8" i="12"/>
  <c r="B8" i="12"/>
  <c r="E7" i="12"/>
  <c r="D7" i="12"/>
  <c r="C7" i="12"/>
  <c r="B7" i="12"/>
  <c r="E6" i="12"/>
  <c r="D6" i="12"/>
  <c r="C6" i="12"/>
  <c r="B6" i="12"/>
  <c r="G5" i="12"/>
  <c r="E5" i="12"/>
  <c r="D5" i="12"/>
  <c r="C5" i="12"/>
  <c r="B5" i="12"/>
  <c r="E4" i="12"/>
  <c r="D4" i="12"/>
  <c r="C4" i="12"/>
  <c r="B4" i="12"/>
  <c r="G3" i="12"/>
  <c r="A7" i="10"/>
  <c r="N11" i="8"/>
  <c r="M11" i="8"/>
  <c r="L11" i="8"/>
  <c r="K11" i="8"/>
  <c r="K10" i="8"/>
  <c r="K8" i="8"/>
  <c r="J11" i="8"/>
  <c r="I11" i="8"/>
  <c r="H11" i="8"/>
  <c r="G11" i="8"/>
  <c r="G10" i="8"/>
  <c r="G8" i="8"/>
  <c r="F11" i="8"/>
  <c r="E11" i="8"/>
  <c r="D11" i="8"/>
  <c r="C11" i="8"/>
  <c r="N10" i="8"/>
  <c r="M10" i="8"/>
  <c r="M8" i="8"/>
  <c r="L10" i="8"/>
  <c r="L8" i="8"/>
  <c r="J10" i="8"/>
  <c r="I10" i="8"/>
  <c r="I8" i="8"/>
  <c r="H10" i="8"/>
  <c r="H8" i="8"/>
  <c r="F10" i="8"/>
  <c r="E10" i="8"/>
  <c r="E8" i="8"/>
  <c r="D10" i="8"/>
  <c r="D8" i="8"/>
  <c r="C10" i="8"/>
  <c r="N9" i="8"/>
  <c r="M9" i="8"/>
  <c r="L9" i="8"/>
  <c r="K9" i="8"/>
  <c r="J9" i="8"/>
  <c r="I9" i="8"/>
  <c r="H9" i="8"/>
  <c r="G9" i="8"/>
  <c r="F9" i="8"/>
  <c r="E9" i="8"/>
  <c r="D9" i="8"/>
  <c r="C9" i="8"/>
  <c r="N8" i="8"/>
  <c r="J8" i="8"/>
  <c r="F8" i="8"/>
  <c r="C8" i="8"/>
  <c r="N7" i="8"/>
  <c r="M7" i="8"/>
  <c r="L7" i="8"/>
  <c r="K7" i="8"/>
  <c r="J7" i="8"/>
  <c r="I7" i="8"/>
  <c r="H7" i="8"/>
  <c r="G7" i="8"/>
  <c r="F7" i="8"/>
  <c r="E7" i="8"/>
  <c r="D7" i="8"/>
  <c r="C7" i="8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I45" i="7"/>
  <c r="H45" i="7"/>
  <c r="G45" i="7"/>
  <c r="F45" i="7"/>
  <c r="E45" i="7"/>
  <c r="D45" i="7"/>
  <c r="O44" i="7"/>
  <c r="Q44" i="7"/>
  <c r="R44" i="7"/>
  <c r="S44" i="7"/>
  <c r="T44" i="7"/>
  <c r="U44" i="7"/>
  <c r="V44" i="7"/>
  <c r="W44" i="7"/>
  <c r="X44" i="7"/>
  <c r="Y44" i="7"/>
  <c r="Z44" i="7"/>
  <c r="AA44" i="7"/>
  <c r="AB44" i="7"/>
  <c r="AD44" i="7"/>
  <c r="P44" i="7"/>
  <c r="N44" i="7"/>
  <c r="M44" i="7"/>
  <c r="L44" i="7"/>
  <c r="K44" i="7"/>
  <c r="J44" i="7"/>
  <c r="I44" i="7"/>
  <c r="H44" i="7"/>
  <c r="G44" i="7"/>
  <c r="C44" i="7"/>
  <c r="Q43" i="7"/>
  <c r="C43" i="7"/>
  <c r="Q42" i="7"/>
  <c r="C42" i="7"/>
  <c r="Q41" i="7"/>
  <c r="R41" i="7"/>
  <c r="S41" i="7"/>
  <c r="T41" i="7"/>
  <c r="U41" i="7"/>
  <c r="V41" i="7"/>
  <c r="W41" i="7"/>
  <c r="X41" i="7"/>
  <c r="Y41" i="7"/>
  <c r="Z41" i="7"/>
  <c r="AA41" i="7"/>
  <c r="AB41" i="7"/>
  <c r="AD41" i="7"/>
  <c r="C41" i="7"/>
  <c r="AB38" i="7"/>
  <c r="AD38" i="7"/>
  <c r="AA38" i="7"/>
  <c r="Z38" i="7"/>
  <c r="Y38" i="7"/>
  <c r="X38" i="7"/>
  <c r="W38" i="7"/>
  <c r="V38" i="7"/>
  <c r="U38" i="7"/>
  <c r="T38" i="7"/>
  <c r="S38" i="7"/>
  <c r="Q38" i="7"/>
  <c r="R38" i="7"/>
  <c r="P38" i="7"/>
  <c r="J38" i="7"/>
  <c r="K38" i="7"/>
  <c r="L38" i="7"/>
  <c r="M38" i="7"/>
  <c r="N38" i="7"/>
  <c r="O38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B37" i="7"/>
  <c r="AA37" i="7"/>
  <c r="Z37" i="7"/>
  <c r="Y37" i="7"/>
  <c r="X37" i="7"/>
  <c r="W37" i="7"/>
  <c r="V37" i="7"/>
  <c r="U37" i="7"/>
  <c r="T37" i="7"/>
  <c r="S37" i="7"/>
  <c r="R37" i="7"/>
  <c r="Q37" i="7"/>
  <c r="O37" i="7"/>
  <c r="N37" i="7"/>
  <c r="M37" i="7"/>
  <c r="L37" i="7"/>
  <c r="K37" i="7"/>
  <c r="J37" i="7"/>
  <c r="I37" i="7"/>
  <c r="G37" i="7"/>
  <c r="H37" i="7"/>
  <c r="C37" i="7"/>
  <c r="AN36" i="7"/>
  <c r="AM36" i="7"/>
  <c r="AL36" i="7"/>
  <c r="AK36" i="7"/>
  <c r="AJ36" i="7"/>
  <c r="AI36" i="7"/>
  <c r="AH36" i="7"/>
  <c r="AG36" i="7"/>
  <c r="AF36" i="7"/>
  <c r="AE36" i="7"/>
  <c r="AD36" i="7"/>
  <c r="AO35" i="7"/>
  <c r="AO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G36" i="7"/>
  <c r="AC35" i="7"/>
  <c r="P35" i="7"/>
  <c r="H35" i="7"/>
  <c r="H36" i="7"/>
  <c r="F34" i="7"/>
  <c r="E34" i="7"/>
  <c r="D34" i="7"/>
  <c r="G28" i="7"/>
  <c r="A28" i="7"/>
  <c r="G18" i="7"/>
  <c r="G25" i="7"/>
  <c r="G23" i="7"/>
  <c r="D23" i="7"/>
  <c r="A23" i="7"/>
  <c r="G22" i="7"/>
  <c r="F22" i="7"/>
  <c r="E22" i="7"/>
  <c r="G20" i="7"/>
  <c r="E20" i="7"/>
  <c r="D20" i="7"/>
  <c r="A20" i="7"/>
  <c r="G19" i="7"/>
  <c r="F19" i="7"/>
  <c r="E19" i="7"/>
  <c r="A15" i="7"/>
  <c r="A19" i="7"/>
  <c r="A22" i="7"/>
  <c r="A25" i="7"/>
  <c r="F18" i="7"/>
  <c r="F25" i="7"/>
  <c r="F23" i="7"/>
  <c r="E18" i="7"/>
  <c r="B14" i="7"/>
  <c r="B18" i="7"/>
  <c r="B21" i="7"/>
  <c r="B24" i="7"/>
  <c r="G17" i="7"/>
  <c r="D17" i="7"/>
  <c r="A17" i="7"/>
  <c r="G16" i="7"/>
  <c r="G13" i="7"/>
  <c r="G12" i="7"/>
  <c r="B15" i="7"/>
  <c r="B19" i="7"/>
  <c r="B22" i="7"/>
  <c r="B25" i="7"/>
  <c r="A14" i="7"/>
  <c r="A18" i="7"/>
  <c r="A21" i="7"/>
  <c r="A24" i="7"/>
  <c r="F13" i="7"/>
  <c r="E13" i="7"/>
  <c r="D13" i="7"/>
  <c r="A10" i="7"/>
  <c r="A9" i="7"/>
  <c r="AC51" i="6"/>
  <c r="P51" i="6"/>
  <c r="C51" i="6"/>
  <c r="AC50" i="6"/>
  <c r="P50" i="6"/>
  <c r="C50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B49" i="6"/>
  <c r="AA49" i="6"/>
  <c r="AA46" i="6"/>
  <c r="AA45" i="6"/>
  <c r="Z49" i="6"/>
  <c r="Z46" i="6"/>
  <c r="Z45" i="6"/>
  <c r="Y49" i="6"/>
  <c r="X49" i="6"/>
  <c r="W49" i="6"/>
  <c r="V49" i="6"/>
  <c r="U49" i="6"/>
  <c r="T49" i="6"/>
  <c r="S49" i="6"/>
  <c r="S46" i="6"/>
  <c r="S45" i="6"/>
  <c r="R49" i="6"/>
  <c r="Q49" i="6"/>
  <c r="O49" i="6"/>
  <c r="N49" i="6"/>
  <c r="N46" i="6"/>
  <c r="N45" i="6"/>
  <c r="M49" i="6"/>
  <c r="L49" i="6"/>
  <c r="K49" i="6"/>
  <c r="J49" i="6"/>
  <c r="J46" i="6"/>
  <c r="J45" i="6"/>
  <c r="I49" i="6"/>
  <c r="H49" i="6"/>
  <c r="G49" i="6"/>
  <c r="F49" i="6"/>
  <c r="E49" i="6"/>
  <c r="D49" i="6"/>
  <c r="AC48" i="6"/>
  <c r="P48" i="6"/>
  <c r="C48" i="6"/>
  <c r="AC47" i="6"/>
  <c r="P47" i="6"/>
  <c r="C47" i="6"/>
  <c r="AO46" i="6"/>
  <c r="AN46" i="6"/>
  <c r="AN45" i="6"/>
  <c r="AM46" i="6"/>
  <c r="AM45" i="6"/>
  <c r="AL46" i="6"/>
  <c r="AK46" i="6"/>
  <c r="AJ46" i="6"/>
  <c r="AJ45" i="6"/>
  <c r="AI46" i="6"/>
  <c r="AH46" i="6"/>
  <c r="AG46" i="6"/>
  <c r="AF46" i="6"/>
  <c r="AF45" i="6"/>
  <c r="AE46" i="6"/>
  <c r="AD46" i="6"/>
  <c r="AB46" i="6"/>
  <c r="AB45" i="6"/>
  <c r="Y46" i="6"/>
  <c r="X46" i="6"/>
  <c r="X45" i="6"/>
  <c r="W46" i="6"/>
  <c r="V46" i="6"/>
  <c r="U46" i="6"/>
  <c r="T46" i="6"/>
  <c r="T45" i="6"/>
  <c r="Q46" i="6"/>
  <c r="R46" i="6"/>
  <c r="P46" i="6"/>
  <c r="O46" i="6"/>
  <c r="M46" i="6"/>
  <c r="L46" i="6"/>
  <c r="L45" i="6"/>
  <c r="K46" i="6"/>
  <c r="I46" i="6"/>
  <c r="H46" i="6"/>
  <c r="H45" i="6"/>
  <c r="G46" i="6"/>
  <c r="F46" i="6"/>
  <c r="E46" i="6"/>
  <c r="D46" i="6"/>
  <c r="D45" i="6"/>
  <c r="AO45" i="6"/>
  <c r="AL45" i="6"/>
  <c r="AK45" i="6"/>
  <c r="AI45" i="6"/>
  <c r="AH45" i="6"/>
  <c r="AG45" i="6"/>
  <c r="AD45" i="6"/>
  <c r="Y45" i="6"/>
  <c r="W45" i="6"/>
  <c r="V45" i="6"/>
  <c r="U45" i="6"/>
  <c r="R45" i="6"/>
  <c r="Q45" i="6"/>
  <c r="O45" i="6"/>
  <c r="M45" i="6"/>
  <c r="K45" i="6"/>
  <c r="I45" i="6"/>
  <c r="G45" i="6"/>
  <c r="E45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B43" i="6"/>
  <c r="AA43" i="6"/>
  <c r="Z43" i="6"/>
  <c r="Y43" i="6"/>
  <c r="X43" i="6"/>
  <c r="W43" i="6"/>
  <c r="P43" i="6"/>
  <c r="AN42" i="6"/>
  <c r="AM42" i="6"/>
  <c r="AK42" i="6"/>
  <c r="AJ42" i="6"/>
  <c r="AH42" i="6"/>
  <c r="AG42" i="6"/>
  <c r="AE42" i="6"/>
  <c r="AD42" i="6"/>
  <c r="AA42" i="6"/>
  <c r="Z42" i="6"/>
  <c r="W42" i="6"/>
  <c r="R42" i="6"/>
  <c r="Q42" i="6"/>
  <c r="O42" i="6"/>
  <c r="N42" i="6"/>
  <c r="M42" i="6"/>
  <c r="L42" i="6"/>
  <c r="K42" i="6"/>
  <c r="J42" i="6"/>
  <c r="I42" i="6"/>
  <c r="H42" i="6"/>
  <c r="G42" i="6"/>
  <c r="G41" i="6"/>
  <c r="F42" i="6"/>
  <c r="E42" i="6"/>
  <c r="D42" i="6"/>
  <c r="C42" i="6"/>
  <c r="AC40" i="6"/>
  <c r="P40" i="6"/>
  <c r="C40" i="6"/>
  <c r="AC39" i="6"/>
  <c r="AB39" i="6"/>
  <c r="AB38" i="6"/>
  <c r="AA39" i="6"/>
  <c r="Z39" i="6"/>
  <c r="Y39" i="6"/>
  <c r="X39" i="6"/>
  <c r="X38" i="6"/>
  <c r="W39" i="6"/>
  <c r="V39" i="6"/>
  <c r="U39" i="6"/>
  <c r="T39" i="6"/>
  <c r="T38" i="6"/>
  <c r="S39" i="6"/>
  <c r="R39" i="6"/>
  <c r="Q39" i="6"/>
  <c r="P39" i="6"/>
  <c r="O39" i="6"/>
  <c r="N39" i="6"/>
  <c r="M39" i="6"/>
  <c r="L39" i="6"/>
  <c r="L38" i="6"/>
  <c r="K39" i="6"/>
  <c r="J39" i="6"/>
  <c r="F39" i="6"/>
  <c r="E39" i="6"/>
  <c r="D39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A38" i="6"/>
  <c r="Z38" i="6"/>
  <c r="Y38" i="6"/>
  <c r="W38" i="6"/>
  <c r="V38" i="6"/>
  <c r="U38" i="6"/>
  <c r="S38" i="6"/>
  <c r="R38" i="6"/>
  <c r="Q38" i="6"/>
  <c r="O38" i="6"/>
  <c r="N38" i="6"/>
  <c r="M38" i="6"/>
  <c r="K38" i="6"/>
  <c r="J38" i="6"/>
  <c r="F38" i="6"/>
  <c r="E38" i="6"/>
  <c r="D38" i="6"/>
  <c r="G35" i="6"/>
  <c r="F6" i="10"/>
  <c r="F35" i="6"/>
  <c r="D35" i="6"/>
  <c r="C6" i="10"/>
  <c r="Q34" i="6"/>
  <c r="O34" i="6"/>
  <c r="N34" i="6"/>
  <c r="M34" i="6"/>
  <c r="L34" i="6"/>
  <c r="K34" i="6"/>
  <c r="J34" i="6"/>
  <c r="I34" i="6"/>
  <c r="G34" i="6"/>
  <c r="H34" i="6"/>
  <c r="C34" i="6"/>
  <c r="Q33" i="6"/>
  <c r="O33" i="6"/>
  <c r="N33" i="6"/>
  <c r="M33" i="6"/>
  <c r="L33" i="6"/>
  <c r="K33" i="6"/>
  <c r="J33" i="6"/>
  <c r="I33" i="6"/>
  <c r="G33" i="6"/>
  <c r="H33" i="6"/>
  <c r="C33" i="6"/>
  <c r="AD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G32" i="6"/>
  <c r="H32" i="6"/>
  <c r="C32" i="6"/>
  <c r="AD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G29" i="6"/>
  <c r="H29" i="6"/>
  <c r="C29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G28" i="6"/>
  <c r="H28" i="6"/>
  <c r="C28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H27" i="6"/>
  <c r="G27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H26" i="6"/>
  <c r="A16" i="6"/>
  <c r="A15" i="6"/>
  <c r="N7" i="4"/>
  <c r="N14" i="6"/>
  <c r="A14" i="6"/>
  <c r="G56" i="4"/>
  <c r="G11" i="6"/>
  <c r="A11" i="6"/>
  <c r="G55" i="4"/>
  <c r="G10" i="6"/>
  <c r="A10" i="6"/>
  <c r="D7" i="6"/>
  <c r="B15" i="5"/>
  <c r="AE7" i="5"/>
  <c r="K5" i="5"/>
  <c r="X7" i="5"/>
  <c r="V45" i="7"/>
  <c r="U7" i="5"/>
  <c r="S45" i="7"/>
  <c r="Q7" i="5"/>
  <c r="J5" i="5"/>
  <c r="P7" i="5"/>
  <c r="AQ6" i="5"/>
  <c r="AO42" i="6"/>
  <c r="AN6" i="5"/>
  <c r="AL42" i="6"/>
  <c r="AK6" i="5"/>
  <c r="AI42" i="6"/>
  <c r="AH6" i="5"/>
  <c r="AD6" i="5"/>
  <c r="AB42" i="6"/>
  <c r="AA6" i="5"/>
  <c r="Y42" i="6"/>
  <c r="Z6" i="5"/>
  <c r="X42" i="6"/>
  <c r="W6" i="5"/>
  <c r="U42" i="6"/>
  <c r="U6" i="5"/>
  <c r="E6" i="5"/>
  <c r="AE5" i="5"/>
  <c r="R5" i="5"/>
  <c r="I39" i="6"/>
  <c r="I38" i="6"/>
  <c r="H39" i="6"/>
  <c r="H38" i="6"/>
  <c r="I5" i="5"/>
  <c r="B5" i="5"/>
  <c r="B12" i="9"/>
  <c r="B13" i="9"/>
  <c r="E48" i="4"/>
  <c r="E55" i="4"/>
  <c r="E10" i="6"/>
  <c r="G54" i="4"/>
  <c r="E49" i="4"/>
  <c r="E56" i="4"/>
  <c r="E54" i="4"/>
  <c r="G53" i="4"/>
  <c r="E53" i="4"/>
  <c r="F49" i="4"/>
  <c r="F56" i="4"/>
  <c r="F11" i="6"/>
  <c r="E11" i="6"/>
  <c r="D49" i="4"/>
  <c r="D56" i="4"/>
  <c r="F48" i="4"/>
  <c r="F55" i="4"/>
  <c r="G47" i="4"/>
  <c r="F47" i="4"/>
  <c r="E47" i="4"/>
  <c r="G46" i="4"/>
  <c r="F46" i="4"/>
  <c r="E46" i="4"/>
  <c r="F40" i="4"/>
  <c r="E40" i="4"/>
  <c r="E39" i="4"/>
  <c r="E38" i="4"/>
  <c r="E37" i="4"/>
  <c r="D40" i="4"/>
  <c r="F39" i="4"/>
  <c r="G38" i="4"/>
  <c r="F38" i="4"/>
  <c r="G37" i="4"/>
  <c r="F37" i="4"/>
  <c r="B20" i="4"/>
  <c r="B31" i="4"/>
  <c r="B39" i="4"/>
  <c r="AJ39" i="4"/>
  <c r="F30" i="4"/>
  <c r="E30" i="4"/>
  <c r="AO29" i="4"/>
  <c r="AN29" i="4"/>
  <c r="AM29" i="4"/>
  <c r="AL29" i="4"/>
  <c r="AK29" i="4"/>
  <c r="AJ29" i="4"/>
  <c r="AI29" i="4"/>
  <c r="AH29" i="4"/>
  <c r="AG29" i="4"/>
  <c r="AF29" i="4"/>
  <c r="AE29" i="4"/>
  <c r="AB29" i="4"/>
  <c r="AA29" i="4"/>
  <c r="Z29" i="4"/>
  <c r="Y29" i="4"/>
  <c r="X29" i="4"/>
  <c r="W29" i="4"/>
  <c r="V29" i="4"/>
  <c r="U29" i="4"/>
  <c r="T29" i="4"/>
  <c r="S29" i="4"/>
  <c r="R29" i="4"/>
  <c r="O29" i="4"/>
  <c r="N29" i="4"/>
  <c r="M29" i="4"/>
  <c r="L29" i="4"/>
  <c r="K29" i="4"/>
  <c r="J29" i="4"/>
  <c r="I29" i="4"/>
  <c r="H29" i="4"/>
  <c r="G29" i="4"/>
  <c r="F29" i="4"/>
  <c r="E29" i="4"/>
  <c r="B21" i="4"/>
  <c r="E20" i="4"/>
  <c r="AL7" i="4"/>
  <c r="AL14" i="4"/>
  <c r="AL19" i="4"/>
  <c r="AD7" i="4"/>
  <c r="AD14" i="4"/>
  <c r="AD19" i="4"/>
  <c r="AK7" i="4"/>
  <c r="AK14" i="4"/>
  <c r="AK19" i="4"/>
  <c r="AH7" i="4"/>
  <c r="AH14" i="4"/>
  <c r="AH19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C13" i="4"/>
  <c r="AC14" i="4"/>
  <c r="Z7" i="4"/>
  <c r="Z14" i="4"/>
  <c r="Z19" i="4"/>
  <c r="U7" i="4"/>
  <c r="U14" i="4"/>
  <c r="U19" i="4"/>
  <c r="R7" i="4"/>
  <c r="R14" i="4"/>
  <c r="R19" i="4"/>
  <c r="M7" i="4"/>
  <c r="M14" i="4"/>
  <c r="M19" i="4"/>
  <c r="AO12" i="4"/>
  <c r="AL12" i="4"/>
  <c r="AK12" i="4"/>
  <c r="AH12" i="4"/>
  <c r="AG12" i="4"/>
  <c r="AD12" i="4"/>
  <c r="AB13" i="4"/>
  <c r="AA13" i="4"/>
  <c r="Z13" i="4"/>
  <c r="Z12" i="4"/>
  <c r="Y13" i="4"/>
  <c r="Y12" i="4"/>
  <c r="X13" i="4"/>
  <c r="W13" i="4"/>
  <c r="V13" i="4"/>
  <c r="V12" i="4"/>
  <c r="U13" i="4"/>
  <c r="U12" i="4"/>
  <c r="T13" i="4"/>
  <c r="S13" i="4"/>
  <c r="R13" i="4"/>
  <c r="R12" i="4"/>
  <c r="Q13" i="4"/>
  <c r="Q12" i="4"/>
  <c r="S12" i="4"/>
  <c r="T12" i="4"/>
  <c r="W12" i="4"/>
  <c r="X12" i="4"/>
  <c r="AA12" i="4"/>
  <c r="AB12" i="4"/>
  <c r="P12" i="4"/>
  <c r="O13" i="4"/>
  <c r="N13" i="4"/>
  <c r="N12" i="4"/>
  <c r="M13" i="4"/>
  <c r="M12" i="4"/>
  <c r="L13" i="4"/>
  <c r="K13" i="4"/>
  <c r="J13" i="4"/>
  <c r="J12" i="4"/>
  <c r="I13" i="4"/>
  <c r="I12" i="4"/>
  <c r="H13" i="4"/>
  <c r="G13" i="4"/>
  <c r="E6" i="4"/>
  <c r="E13" i="4"/>
  <c r="E12" i="4"/>
  <c r="AN12" i="4"/>
  <c r="AM12" i="4"/>
  <c r="AJ12" i="4"/>
  <c r="AI12" i="4"/>
  <c r="AF12" i="4"/>
  <c r="AE12" i="4"/>
  <c r="O12" i="4"/>
  <c r="L12" i="4"/>
  <c r="K12" i="4"/>
  <c r="H12" i="4"/>
  <c r="G12" i="4"/>
  <c r="AO7" i="4"/>
  <c r="AO14" i="6"/>
  <c r="AN7" i="4"/>
  <c r="AN14" i="6"/>
  <c r="AM7" i="4"/>
  <c r="AM14" i="6"/>
  <c r="AL14" i="6"/>
  <c r="AK14" i="6"/>
  <c r="AJ7" i="4"/>
  <c r="AJ14" i="6"/>
  <c r="AI7" i="4"/>
  <c r="AI14" i="6"/>
  <c r="AH14" i="6"/>
  <c r="AG7" i="4"/>
  <c r="AG14" i="6"/>
  <c r="AF7" i="4"/>
  <c r="AF14" i="6"/>
  <c r="AE7" i="4"/>
  <c r="AE14" i="6"/>
  <c r="AD14" i="6"/>
  <c r="AB7" i="4"/>
  <c r="AB14" i="6"/>
  <c r="AA7" i="4"/>
  <c r="AA14" i="6"/>
  <c r="Z14" i="6"/>
  <c r="Y7" i="4"/>
  <c r="Y14" i="6"/>
  <c r="X7" i="4"/>
  <c r="X14" i="6"/>
  <c r="W7" i="4"/>
  <c r="W14" i="6"/>
  <c r="V7" i="4"/>
  <c r="V14" i="6"/>
  <c r="U14" i="6"/>
  <c r="T7" i="4"/>
  <c r="T14" i="6"/>
  <c r="S7" i="4"/>
  <c r="S14" i="6"/>
  <c r="R14" i="6"/>
  <c r="Q7" i="4"/>
  <c r="Q14" i="6"/>
  <c r="O7" i="4"/>
  <c r="O14" i="6"/>
  <c r="N14" i="4"/>
  <c r="N19" i="4"/>
  <c r="M14" i="6"/>
  <c r="L7" i="4"/>
  <c r="L14" i="6"/>
  <c r="K7" i="4"/>
  <c r="J7" i="4"/>
  <c r="J14" i="6"/>
  <c r="I7" i="4"/>
  <c r="I14" i="6"/>
  <c r="H7" i="4"/>
  <c r="H14" i="6"/>
  <c r="G7" i="4"/>
  <c r="F6" i="4"/>
  <c r="F7" i="4"/>
  <c r="F14" i="6"/>
  <c r="AC6" i="4"/>
  <c r="AC7" i="4"/>
  <c r="P6" i="4"/>
  <c r="P7" i="4"/>
  <c r="E7" i="4"/>
  <c r="D6" i="4"/>
  <c r="AO5" i="4"/>
  <c r="AN5" i="4"/>
  <c r="AM5" i="4"/>
  <c r="AL5" i="4"/>
  <c r="AK5" i="4"/>
  <c r="AJ5" i="4"/>
  <c r="AI5" i="4"/>
  <c r="AH5" i="4"/>
  <c r="AG5" i="4"/>
  <c r="AF5" i="4"/>
  <c r="AE5" i="4"/>
  <c r="AD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C5" i="4"/>
  <c r="F4" i="3"/>
  <c r="C25" i="3"/>
  <c r="C26" i="3"/>
  <c r="F26" i="3"/>
  <c r="F25" i="3"/>
  <c r="E20" i="3"/>
  <c r="C18" i="3"/>
  <c r="C19" i="3"/>
  <c r="C20" i="3"/>
  <c r="B18" i="3"/>
  <c r="B19" i="3"/>
  <c r="B13" i="3"/>
  <c r="F5" i="3"/>
  <c r="F6" i="3"/>
  <c r="F7" i="3"/>
  <c r="F8" i="3"/>
  <c r="E6" i="3"/>
  <c r="F19" i="3"/>
  <c r="F18" i="3"/>
  <c r="D13" i="3"/>
  <c r="B4" i="3"/>
  <c r="B5" i="3"/>
  <c r="B6" i="3"/>
  <c r="B7" i="3"/>
  <c r="B8" i="3"/>
  <c r="J3" i="1"/>
  <c r="D3" i="1"/>
  <c r="AC14" i="6"/>
  <c r="AD19" i="6"/>
  <c r="AD15" i="6"/>
  <c r="B20" i="3"/>
  <c r="B26" i="3"/>
  <c r="V15" i="6"/>
  <c r="V16" i="6"/>
  <c r="V13" i="6"/>
  <c r="V19" i="6"/>
  <c r="AJ55" i="4"/>
  <c r="AL15" i="6"/>
  <c r="AL16" i="6"/>
  <c r="AL13" i="6"/>
  <c r="AL19" i="6"/>
  <c r="AN14" i="4"/>
  <c r="AN19" i="4"/>
  <c r="AN21" i="4"/>
  <c r="E14" i="6"/>
  <c r="E14" i="4"/>
  <c r="E19" i="4"/>
  <c r="F19" i="6"/>
  <c r="F15" i="6"/>
  <c r="F16" i="6"/>
  <c r="F13" i="6"/>
  <c r="H39" i="4"/>
  <c r="H19" i="6"/>
  <c r="N39" i="4"/>
  <c r="N19" i="6"/>
  <c r="J39" i="4"/>
  <c r="J19" i="6"/>
  <c r="G14" i="6"/>
  <c r="G14" i="4"/>
  <c r="G19" i="4"/>
  <c r="Q39" i="4"/>
  <c r="B48" i="4"/>
  <c r="B55" i="4"/>
  <c r="AF42" i="6"/>
  <c r="AE6" i="5"/>
  <c r="N15" i="6"/>
  <c r="N16" i="6"/>
  <c r="E7" i="3"/>
  <c r="E8" i="3"/>
  <c r="E4" i="3"/>
  <c r="B25" i="3"/>
  <c r="Q19" i="6"/>
  <c r="P14" i="6"/>
  <c r="Q15" i="6"/>
  <c r="Q16" i="6"/>
  <c r="U19" i="6"/>
  <c r="U15" i="6"/>
  <c r="Y19" i="6"/>
  <c r="Y15" i="6"/>
  <c r="Y16" i="6"/>
  <c r="Y13" i="6"/>
  <c r="AG19" i="6"/>
  <c r="AG15" i="6"/>
  <c r="AG16" i="6"/>
  <c r="AG13" i="6"/>
  <c r="AK19" i="6"/>
  <c r="AK15" i="6"/>
  <c r="AK16" i="6"/>
  <c r="AK13" i="6"/>
  <c r="AO19" i="6"/>
  <c r="AO15" i="6"/>
  <c r="F14" i="4"/>
  <c r="F19" i="4"/>
  <c r="F21" i="4"/>
  <c r="F20" i="4"/>
  <c r="V14" i="4"/>
  <c r="V19" i="4"/>
  <c r="G21" i="4"/>
  <c r="W14" i="4"/>
  <c r="W19" i="4"/>
  <c r="W21" i="4"/>
  <c r="L39" i="4"/>
  <c r="T39" i="4"/>
  <c r="AB39" i="4"/>
  <c r="E10" i="7"/>
  <c r="E9" i="7"/>
  <c r="E8" i="7"/>
  <c r="E7" i="7"/>
  <c r="E23" i="6"/>
  <c r="E24" i="6"/>
  <c r="E33" i="7"/>
  <c r="G39" i="6"/>
  <c r="G38" i="6"/>
  <c r="G37" i="6"/>
  <c r="V7" i="5"/>
  <c r="T45" i="7"/>
  <c r="O7" i="5"/>
  <c r="V6" i="5"/>
  <c r="T42" i="6"/>
  <c r="E5" i="5"/>
  <c r="S7" i="5"/>
  <c r="L7" i="5"/>
  <c r="N45" i="7"/>
  <c r="N43" i="6"/>
  <c r="AO16" i="6"/>
  <c r="AO13" i="6"/>
  <c r="D14" i="6"/>
  <c r="D7" i="4"/>
  <c r="D14" i="4"/>
  <c r="K14" i="6"/>
  <c r="K14" i="4"/>
  <c r="K19" i="4"/>
  <c r="AM39" i="4"/>
  <c r="AI39" i="4"/>
  <c r="AE39" i="4"/>
  <c r="AA39" i="4"/>
  <c r="W39" i="4"/>
  <c r="S39" i="4"/>
  <c r="O39" i="4"/>
  <c r="K39" i="4"/>
  <c r="AL39" i="4"/>
  <c r="AH39" i="4"/>
  <c r="AD39" i="4"/>
  <c r="Z39" i="4"/>
  <c r="V39" i="4"/>
  <c r="V18" i="7"/>
  <c r="R39" i="4"/>
  <c r="Y39" i="4"/>
  <c r="Y18" i="7"/>
  <c r="AO39" i="4"/>
  <c r="C38" i="6"/>
  <c r="I15" i="6"/>
  <c r="M15" i="6"/>
  <c r="R15" i="6"/>
  <c r="R16" i="6"/>
  <c r="R13" i="6"/>
  <c r="R19" i="6"/>
  <c r="Z15" i="6"/>
  <c r="Z19" i="6"/>
  <c r="AH15" i="6"/>
  <c r="AH16" i="6"/>
  <c r="AH13" i="6"/>
  <c r="AH19" i="6"/>
  <c r="P13" i="4"/>
  <c r="P14" i="4"/>
  <c r="I14" i="4"/>
  <c r="I19" i="4"/>
  <c r="I21" i="4"/>
  <c r="Q14" i="4"/>
  <c r="Q19" i="4"/>
  <c r="Y14" i="4"/>
  <c r="Y19" i="4"/>
  <c r="AG14" i="4"/>
  <c r="AG19" i="4"/>
  <c r="AO14" i="4"/>
  <c r="AO19" i="4"/>
  <c r="AO21" i="4"/>
  <c r="M39" i="4"/>
  <c r="M18" i="7"/>
  <c r="U39" i="4"/>
  <c r="AK39" i="4"/>
  <c r="F10" i="6"/>
  <c r="F54" i="4"/>
  <c r="F53" i="4"/>
  <c r="E20" i="6"/>
  <c r="E29" i="7"/>
  <c r="E9" i="6"/>
  <c r="E21" i="6"/>
  <c r="E30" i="7"/>
  <c r="G9" i="7"/>
  <c r="G21" i="6"/>
  <c r="G30" i="7"/>
  <c r="G20" i="6"/>
  <c r="G9" i="6"/>
  <c r="D11" i="6"/>
  <c r="N13" i="6"/>
  <c r="AC12" i="4"/>
  <c r="I39" i="4"/>
  <c r="AG39" i="4"/>
  <c r="AJ18" i="7"/>
  <c r="AF39" i="4"/>
  <c r="AF18" i="7"/>
  <c r="AB18" i="7"/>
  <c r="L18" i="7"/>
  <c r="H18" i="7"/>
  <c r="AI18" i="7"/>
  <c r="AE18" i="7"/>
  <c r="AA18" i="7"/>
  <c r="S18" i="7"/>
  <c r="O18" i="7"/>
  <c r="K18" i="7"/>
  <c r="AO18" i="7"/>
  <c r="Q18" i="7"/>
  <c r="AD18" i="7"/>
  <c r="N18" i="7"/>
  <c r="AK18" i="7"/>
  <c r="U18" i="7"/>
  <c r="R18" i="7"/>
  <c r="J18" i="7"/>
  <c r="AH18" i="7"/>
  <c r="AC5" i="4"/>
  <c r="C6" i="4"/>
  <c r="C7" i="4"/>
  <c r="J15" i="6"/>
  <c r="D13" i="4"/>
  <c r="J14" i="4"/>
  <c r="J19" i="4"/>
  <c r="B32" i="4"/>
  <c r="AL21" i="4"/>
  <c r="AH21" i="4"/>
  <c r="AD21" i="4"/>
  <c r="Z21" i="4"/>
  <c r="V21" i="4"/>
  <c r="R21" i="4"/>
  <c r="N21" i="4"/>
  <c r="J21" i="4"/>
  <c r="AK21" i="4"/>
  <c r="AG21" i="4"/>
  <c r="Y21" i="4"/>
  <c r="U21" i="4"/>
  <c r="Q21" i="4"/>
  <c r="M21" i="4"/>
  <c r="K21" i="4"/>
  <c r="S14" i="4"/>
  <c r="S19" i="4"/>
  <c r="S21" i="4"/>
  <c r="AI14" i="4"/>
  <c r="AI19" i="4"/>
  <c r="AI21" i="4"/>
  <c r="X39" i="4"/>
  <c r="AN39" i="4"/>
  <c r="I16" i="6"/>
  <c r="I13" i="6"/>
  <c r="O45" i="7"/>
  <c r="O43" i="6"/>
  <c r="W7" i="5"/>
  <c r="U45" i="7"/>
  <c r="G10" i="7"/>
  <c r="G23" i="6"/>
  <c r="G24" i="6"/>
  <c r="G33" i="7"/>
  <c r="C39" i="6"/>
  <c r="F45" i="6"/>
  <c r="C49" i="6"/>
  <c r="F20" i="7"/>
  <c r="F17" i="7"/>
  <c r="F16" i="7"/>
  <c r="F12" i="7"/>
  <c r="O15" i="6"/>
  <c r="O16" i="6"/>
  <c r="O13" i="6"/>
  <c r="S15" i="6"/>
  <c r="S19" i="6"/>
  <c r="W15" i="6"/>
  <c r="W19" i="6"/>
  <c r="AA15" i="6"/>
  <c r="AA19" i="6"/>
  <c r="AE15" i="6"/>
  <c r="AE19" i="6"/>
  <c r="AI15" i="6"/>
  <c r="AI19" i="6"/>
  <c r="AM15" i="6"/>
  <c r="AM19" i="6"/>
  <c r="F13" i="4"/>
  <c r="F12" i="4"/>
  <c r="O14" i="4"/>
  <c r="O19" i="4"/>
  <c r="O21" i="4"/>
  <c r="AA14" i="4"/>
  <c r="AA19" i="4"/>
  <c r="AA21" i="4"/>
  <c r="AE14" i="4"/>
  <c r="AE19" i="4"/>
  <c r="AE21" i="4"/>
  <c r="AM14" i="4"/>
  <c r="AM19" i="4"/>
  <c r="AM21" i="4"/>
  <c r="X6" i="5"/>
  <c r="R6" i="5"/>
  <c r="S42" i="6"/>
  <c r="M7" i="5"/>
  <c r="E6" i="10"/>
  <c r="AE45" i="6"/>
  <c r="AC45" i="6"/>
  <c r="AC46" i="6"/>
  <c r="H15" i="6"/>
  <c r="H16" i="6"/>
  <c r="H13" i="6"/>
  <c r="L15" i="6"/>
  <c r="T15" i="6"/>
  <c r="T16" i="6"/>
  <c r="T13" i="6"/>
  <c r="T19" i="6"/>
  <c r="X15" i="6"/>
  <c r="X16" i="6"/>
  <c r="X13" i="6"/>
  <c r="X19" i="6"/>
  <c r="AB15" i="6"/>
  <c r="AB16" i="6"/>
  <c r="AB13" i="6"/>
  <c r="AB19" i="6"/>
  <c r="AF15" i="6"/>
  <c r="AF16" i="6"/>
  <c r="AF13" i="6"/>
  <c r="AF19" i="6"/>
  <c r="AJ15" i="6"/>
  <c r="AJ16" i="6"/>
  <c r="AJ13" i="6"/>
  <c r="AJ19" i="6"/>
  <c r="AN15" i="6"/>
  <c r="AN16" i="6"/>
  <c r="AN13" i="6"/>
  <c r="AN19" i="6"/>
  <c r="H14" i="4"/>
  <c r="H19" i="4"/>
  <c r="H21" i="4"/>
  <c r="L14" i="4"/>
  <c r="L19" i="4"/>
  <c r="L21" i="4"/>
  <c r="T14" i="4"/>
  <c r="T19" i="4"/>
  <c r="T21" i="4"/>
  <c r="X14" i="4"/>
  <c r="X19" i="4"/>
  <c r="X21" i="4"/>
  <c r="AB14" i="4"/>
  <c r="AB19" i="4"/>
  <c r="AB21" i="4"/>
  <c r="AF14" i="4"/>
  <c r="AF19" i="4"/>
  <c r="AF21" i="4"/>
  <c r="AJ14" i="4"/>
  <c r="AJ19" i="4"/>
  <c r="AJ21" i="4"/>
  <c r="F10" i="7"/>
  <c r="F24" i="6"/>
  <c r="F33" i="7"/>
  <c r="T7" i="5"/>
  <c r="R45" i="7"/>
  <c r="F23" i="6"/>
  <c r="P26" i="6"/>
  <c r="P38" i="6"/>
  <c r="C46" i="6"/>
  <c r="V42" i="6"/>
  <c r="N7" i="5"/>
  <c r="AC38" i="6"/>
  <c r="AC42" i="6"/>
  <c r="AC43" i="6"/>
  <c r="AC49" i="6"/>
  <c r="P45" i="6"/>
  <c r="P49" i="6"/>
  <c r="E25" i="7"/>
  <c r="E17" i="7"/>
  <c r="E16" i="7"/>
  <c r="E12" i="7"/>
  <c r="D16" i="7"/>
  <c r="AE41" i="7"/>
  <c r="AE44" i="7"/>
  <c r="AF44" i="7"/>
  <c r="AG44" i="7"/>
  <c r="AH44" i="7"/>
  <c r="AI44" i="7"/>
  <c r="AJ44" i="7"/>
  <c r="AK44" i="7"/>
  <c r="AL44" i="7"/>
  <c r="AM44" i="7"/>
  <c r="AN44" i="7"/>
  <c r="AO44" i="7"/>
  <c r="AC44" i="7"/>
  <c r="AC37" i="7"/>
  <c r="P36" i="7"/>
  <c r="C38" i="7"/>
  <c r="I35" i="7"/>
  <c r="AE38" i="7"/>
  <c r="R43" i="7"/>
  <c r="P37" i="7"/>
  <c r="P41" i="7"/>
  <c r="R42" i="7"/>
  <c r="X32" i="4"/>
  <c r="X20" i="4"/>
  <c r="X31" i="4"/>
  <c r="X30" i="4"/>
  <c r="L16" i="6"/>
  <c r="L13" i="6"/>
  <c r="AE32" i="4"/>
  <c r="AE20" i="4"/>
  <c r="AE31" i="4"/>
  <c r="AE30" i="4"/>
  <c r="O20" i="4"/>
  <c r="O31" i="4"/>
  <c r="O32" i="4"/>
  <c r="D4" i="4"/>
  <c r="G4" i="3"/>
  <c r="E26" i="3"/>
  <c r="E25" i="3"/>
  <c r="G25" i="3"/>
  <c r="E19" i="3"/>
  <c r="E18" i="3"/>
  <c r="AA32" i="4"/>
  <c r="AA20" i="4"/>
  <c r="AA31" i="4"/>
  <c r="AA30" i="4"/>
  <c r="AI16" i="6"/>
  <c r="AI13" i="6"/>
  <c r="AF32" i="4"/>
  <c r="AF20" i="4"/>
  <c r="AF31" i="4"/>
  <c r="AM20" i="4"/>
  <c r="AM31" i="4"/>
  <c r="AM32" i="4"/>
  <c r="I18" i="7"/>
  <c r="C18" i="7"/>
  <c r="AO32" i="4"/>
  <c r="AO20" i="4"/>
  <c r="AO31" i="4"/>
  <c r="AO30" i="4"/>
  <c r="I32" i="4"/>
  <c r="I20" i="4"/>
  <c r="I31" i="4"/>
  <c r="I30" i="4"/>
  <c r="H32" i="4"/>
  <c r="H20" i="4"/>
  <c r="H31" i="4"/>
  <c r="H30" i="4"/>
  <c r="W16" i="6"/>
  <c r="W13" i="6"/>
  <c r="J16" i="6"/>
  <c r="J13" i="6"/>
  <c r="T32" i="4"/>
  <c r="T20" i="4"/>
  <c r="T31" i="4"/>
  <c r="T30" i="4"/>
  <c r="C45" i="6"/>
  <c r="X55" i="4"/>
  <c r="X48" i="4"/>
  <c r="M32" i="4"/>
  <c r="M20" i="4"/>
  <c r="M31" i="4"/>
  <c r="Z20" i="4"/>
  <c r="Z31" i="4"/>
  <c r="Z32" i="4"/>
  <c r="AG48" i="4"/>
  <c r="AG55" i="4"/>
  <c r="AL55" i="4"/>
  <c r="AL48" i="4"/>
  <c r="AM55" i="4"/>
  <c r="AM48" i="4"/>
  <c r="T55" i="4"/>
  <c r="T48" i="4"/>
  <c r="J28" i="7"/>
  <c r="AN32" i="4"/>
  <c r="AN20" i="4"/>
  <c r="AN31" i="4"/>
  <c r="AN30" i="4"/>
  <c r="AJ10" i="6"/>
  <c r="S42" i="7"/>
  <c r="R33" i="6"/>
  <c r="L45" i="7"/>
  <c r="L43" i="6"/>
  <c r="AA16" i="6"/>
  <c r="AA13" i="6"/>
  <c r="H55" i="4"/>
  <c r="H48" i="4"/>
  <c r="K32" i="4"/>
  <c r="K20" i="4"/>
  <c r="K31" i="4"/>
  <c r="K30" i="4"/>
  <c r="Q32" i="4"/>
  <c r="Q20" i="4"/>
  <c r="P21" i="4"/>
  <c r="AK32" i="4"/>
  <c r="AK20" i="4"/>
  <c r="AK31" i="4"/>
  <c r="AK30" i="4"/>
  <c r="N32" i="4"/>
  <c r="N20" i="4"/>
  <c r="N31" i="4"/>
  <c r="AC21" i="4"/>
  <c r="AD32" i="4"/>
  <c r="AD20" i="4"/>
  <c r="I48" i="4"/>
  <c r="I55" i="4"/>
  <c r="D10" i="7"/>
  <c r="D23" i="6"/>
  <c r="D24" i="6"/>
  <c r="F9" i="7"/>
  <c r="F20" i="6"/>
  <c r="F29" i="7"/>
  <c r="F21" i="6"/>
  <c r="F30" i="7"/>
  <c r="F9" i="6"/>
  <c r="Z16" i="6"/>
  <c r="Z13" i="6"/>
  <c r="J48" i="4"/>
  <c r="J55" i="4"/>
  <c r="Z55" i="4"/>
  <c r="Z48" i="4"/>
  <c r="K55" i="4"/>
  <c r="K48" i="4"/>
  <c r="AA48" i="4"/>
  <c r="AA55" i="4"/>
  <c r="AC19" i="4"/>
  <c r="D19" i="6"/>
  <c r="D15" i="6"/>
  <c r="C14" i="6"/>
  <c r="Q45" i="7"/>
  <c r="P45" i="7"/>
  <c r="R7" i="5"/>
  <c r="E47" i="7"/>
  <c r="E36" i="6"/>
  <c r="D7" i="10"/>
  <c r="L55" i="4"/>
  <c r="L48" i="4"/>
  <c r="U16" i="6"/>
  <c r="U13" i="6"/>
  <c r="Q48" i="4"/>
  <c r="P39" i="4"/>
  <c r="Q55" i="4"/>
  <c r="N28" i="7"/>
  <c r="L19" i="6"/>
  <c r="AL28" i="7"/>
  <c r="AD28" i="7"/>
  <c r="AC19" i="6"/>
  <c r="AF41" i="7"/>
  <c r="AE32" i="6"/>
  <c r="AJ32" i="4"/>
  <c r="AJ20" i="4"/>
  <c r="AJ31" i="4"/>
  <c r="AJ30" i="4"/>
  <c r="AG32" i="4"/>
  <c r="AG20" i="4"/>
  <c r="AG31" i="4"/>
  <c r="AG30" i="4"/>
  <c r="R28" i="7"/>
  <c r="Y55" i="4"/>
  <c r="Y48" i="4"/>
  <c r="D19" i="4"/>
  <c r="C14" i="4"/>
  <c r="J45" i="7"/>
  <c r="J43" i="6"/>
  <c r="E7" i="5"/>
  <c r="E32" i="7"/>
  <c r="E31" i="7"/>
  <c r="E22" i="6"/>
  <c r="AC15" i="6"/>
  <c r="L32" i="4"/>
  <c r="L20" i="4"/>
  <c r="L31" i="4"/>
  <c r="AM16" i="6"/>
  <c r="AM13" i="6"/>
  <c r="AE16" i="6"/>
  <c r="AE13" i="6"/>
  <c r="S16" i="6"/>
  <c r="P16" i="6"/>
  <c r="AF38" i="7"/>
  <c r="AE29" i="6"/>
  <c r="F8" i="7"/>
  <c r="F7" i="7"/>
  <c r="AB32" i="4"/>
  <c r="AB20" i="4"/>
  <c r="AB31" i="4"/>
  <c r="AB30" i="4"/>
  <c r="AM28" i="7"/>
  <c r="AI28" i="7"/>
  <c r="AE28" i="7"/>
  <c r="AA28" i="7"/>
  <c r="W28" i="7"/>
  <c r="S28" i="7"/>
  <c r="G32" i="7"/>
  <c r="G31" i="7"/>
  <c r="G22" i="6"/>
  <c r="AN55" i="4"/>
  <c r="AN48" i="4"/>
  <c r="AI32" i="4"/>
  <c r="AI20" i="4"/>
  <c r="AI31" i="4"/>
  <c r="AI30" i="4"/>
  <c r="U32" i="4"/>
  <c r="U20" i="4"/>
  <c r="U31" i="4"/>
  <c r="U30" i="4"/>
  <c r="R20" i="4"/>
  <c r="R31" i="4"/>
  <c r="R32" i="4"/>
  <c r="AH20" i="4"/>
  <c r="AH31" i="4"/>
  <c r="AH32" i="4"/>
  <c r="C13" i="4"/>
  <c r="D12" i="4"/>
  <c r="C12" i="4"/>
  <c r="AG18" i="7"/>
  <c r="T18" i="7"/>
  <c r="AK48" i="4"/>
  <c r="AK55" i="4"/>
  <c r="Z28" i="7"/>
  <c r="M16" i="6"/>
  <c r="M13" i="6"/>
  <c r="N48" i="4"/>
  <c r="N55" i="4"/>
  <c r="AD55" i="4"/>
  <c r="AD48" i="4"/>
  <c r="AC39" i="4"/>
  <c r="O55" i="4"/>
  <c r="O48" i="4"/>
  <c r="AE55" i="4"/>
  <c r="AE48" i="4"/>
  <c r="Z18" i="7"/>
  <c r="G32" i="4"/>
  <c r="G20" i="4"/>
  <c r="G31" i="4"/>
  <c r="G30" i="4"/>
  <c r="Y28" i="7"/>
  <c r="U28" i="7"/>
  <c r="K19" i="6"/>
  <c r="I19" i="6"/>
  <c r="E15" i="6"/>
  <c r="E16" i="6"/>
  <c r="E13" i="6"/>
  <c r="E19" i="6"/>
  <c r="S43" i="7"/>
  <c r="R34" i="6"/>
  <c r="S20" i="4"/>
  <c r="S31" i="4"/>
  <c r="S32" i="4"/>
  <c r="J20" i="4"/>
  <c r="J31" i="4"/>
  <c r="J32" i="4"/>
  <c r="B40" i="4"/>
  <c r="B30" i="4"/>
  <c r="B38" i="4"/>
  <c r="B47" i="4"/>
  <c r="B54" i="4"/>
  <c r="M48" i="4"/>
  <c r="M55" i="4"/>
  <c r="AH28" i="7"/>
  <c r="V55" i="4"/>
  <c r="V48" i="4"/>
  <c r="W55" i="4"/>
  <c r="W48" i="4"/>
  <c r="M45" i="7"/>
  <c r="M43" i="6"/>
  <c r="W20" i="4"/>
  <c r="W31" i="4"/>
  <c r="W32" i="4"/>
  <c r="W30" i="4"/>
  <c r="P15" i="6"/>
  <c r="H28" i="7"/>
  <c r="F28" i="7"/>
  <c r="F32" i="7"/>
  <c r="F31" i="7"/>
  <c r="F22" i="6"/>
  <c r="K45" i="7"/>
  <c r="K43" i="6"/>
  <c r="J35" i="7"/>
  <c r="I36" i="7"/>
  <c r="I26" i="6"/>
  <c r="D12" i="7"/>
  <c r="E23" i="7"/>
  <c r="P42" i="6"/>
  <c r="AN28" i="7"/>
  <c r="AJ28" i="7"/>
  <c r="AF28" i="7"/>
  <c r="AB28" i="7"/>
  <c r="X28" i="7"/>
  <c r="T28" i="7"/>
  <c r="G8" i="7"/>
  <c r="G7" i="7"/>
  <c r="AF48" i="4"/>
  <c r="AF55" i="4"/>
  <c r="Y32" i="4"/>
  <c r="Y20" i="4"/>
  <c r="Y31" i="4"/>
  <c r="Y30" i="4"/>
  <c r="V32" i="4"/>
  <c r="V20" i="4"/>
  <c r="V31" i="4"/>
  <c r="V30" i="4"/>
  <c r="AL32" i="4"/>
  <c r="AL20" i="4"/>
  <c r="AL31" i="4"/>
  <c r="AL30" i="4"/>
  <c r="AL18" i="7"/>
  <c r="W18" i="7"/>
  <c r="AM18" i="7"/>
  <c r="X18" i="7"/>
  <c r="AN18" i="7"/>
  <c r="G29" i="7"/>
  <c r="G27" i="7"/>
  <c r="G18" i="6"/>
  <c r="U48" i="4"/>
  <c r="U55" i="4"/>
  <c r="P19" i="4"/>
  <c r="AO55" i="4"/>
  <c r="AO48" i="4"/>
  <c r="R48" i="4"/>
  <c r="R55" i="4"/>
  <c r="AH55" i="4"/>
  <c r="AH48" i="4"/>
  <c r="S55" i="4"/>
  <c r="S48" i="4"/>
  <c r="AI55" i="4"/>
  <c r="AI48" i="4"/>
  <c r="K15" i="6"/>
  <c r="K16" i="6"/>
  <c r="K13" i="6"/>
  <c r="AB55" i="4"/>
  <c r="AB48" i="4"/>
  <c r="AO28" i="7"/>
  <c r="AK28" i="7"/>
  <c r="AG28" i="7"/>
  <c r="Q13" i="6"/>
  <c r="Q28" i="7"/>
  <c r="V28" i="7"/>
  <c r="P28" i="7"/>
  <c r="P19" i="6"/>
  <c r="G15" i="6"/>
  <c r="G16" i="6"/>
  <c r="G13" i="6"/>
  <c r="O19" i="6"/>
  <c r="M19" i="6"/>
  <c r="AD16" i="6"/>
  <c r="AC16" i="6"/>
  <c r="M28" i="7"/>
  <c r="AH10" i="6"/>
  <c r="U10" i="6"/>
  <c r="W14" i="7"/>
  <c r="I28" i="7"/>
  <c r="AE10" i="6"/>
  <c r="N10" i="6"/>
  <c r="AK14" i="7"/>
  <c r="Y10" i="6"/>
  <c r="Q10" i="6"/>
  <c r="P55" i="4"/>
  <c r="AA14" i="7"/>
  <c r="I10" i="6"/>
  <c r="AD31" i="4"/>
  <c r="AC20" i="4"/>
  <c r="AJ9" i="7"/>
  <c r="AJ20" i="6"/>
  <c r="AJ21" i="6"/>
  <c r="AJ30" i="7"/>
  <c r="T10" i="6"/>
  <c r="O28" i="7"/>
  <c r="AB14" i="7"/>
  <c r="S10" i="6"/>
  <c r="AO14" i="7"/>
  <c r="J36" i="7"/>
  <c r="J27" i="6"/>
  <c r="K35" i="7"/>
  <c r="J26" i="6"/>
  <c r="W10" i="6"/>
  <c r="S30" i="4"/>
  <c r="K28" i="7"/>
  <c r="AC18" i="7"/>
  <c r="L28" i="7"/>
  <c r="F27" i="7"/>
  <c r="F26" i="7"/>
  <c r="F11" i="7"/>
  <c r="F46" i="7"/>
  <c r="F47" i="7"/>
  <c r="F48" i="7"/>
  <c r="F44" i="6"/>
  <c r="F41" i="6"/>
  <c r="F37" i="6"/>
  <c r="H14" i="7"/>
  <c r="AL14" i="7"/>
  <c r="O30" i="4"/>
  <c r="AB10" i="6"/>
  <c r="AI10" i="6"/>
  <c r="AO10" i="6"/>
  <c r="U14" i="7"/>
  <c r="AF14" i="7"/>
  <c r="I27" i="6"/>
  <c r="F18" i="6"/>
  <c r="F17" i="6"/>
  <c r="AE14" i="7"/>
  <c r="O14" i="7"/>
  <c r="AD14" i="7"/>
  <c r="N14" i="7"/>
  <c r="AK10" i="6"/>
  <c r="C43" i="6"/>
  <c r="AC28" i="7"/>
  <c r="L14" i="7"/>
  <c r="C15" i="6"/>
  <c r="AA10" i="6"/>
  <c r="K14" i="7"/>
  <c r="Z10" i="6"/>
  <c r="D32" i="7"/>
  <c r="D22" i="6"/>
  <c r="I14" i="7"/>
  <c r="H10" i="6"/>
  <c r="AM14" i="7"/>
  <c r="AL10" i="6"/>
  <c r="Z30" i="4"/>
  <c r="X14" i="7"/>
  <c r="AM30" i="4"/>
  <c r="S13" i="6"/>
  <c r="P13" i="6"/>
  <c r="AI14" i="7"/>
  <c r="G26" i="7"/>
  <c r="AF10" i="6"/>
  <c r="V10" i="6"/>
  <c r="E28" i="7"/>
  <c r="E27" i="7"/>
  <c r="E26" i="7"/>
  <c r="E11" i="7"/>
  <c r="E46" i="7"/>
  <c r="E48" i="7"/>
  <c r="E44" i="6"/>
  <c r="E41" i="6"/>
  <c r="E37" i="6"/>
  <c r="E18" i="6"/>
  <c r="AN10" i="6"/>
  <c r="D28" i="7"/>
  <c r="C19" i="6"/>
  <c r="Q31" i="4"/>
  <c r="P20" i="4"/>
  <c r="AD13" i="6"/>
  <c r="AC13" i="6"/>
  <c r="R10" i="6"/>
  <c r="M14" i="7"/>
  <c r="B49" i="4"/>
  <c r="B56" i="4"/>
  <c r="AN40" i="4"/>
  <c r="AJ40" i="4"/>
  <c r="AF40" i="4"/>
  <c r="AB40" i="4"/>
  <c r="X40" i="4"/>
  <c r="T40" i="4"/>
  <c r="L40" i="4"/>
  <c r="AM40" i="4"/>
  <c r="AI40" i="4"/>
  <c r="AE40" i="4"/>
  <c r="AA40" i="4"/>
  <c r="W40" i="4"/>
  <c r="S40" i="4"/>
  <c r="O40" i="4"/>
  <c r="K40" i="4"/>
  <c r="AL40" i="4"/>
  <c r="AH40" i="4"/>
  <c r="AD40" i="4"/>
  <c r="Z40" i="4"/>
  <c r="AK40" i="4"/>
  <c r="V40" i="4"/>
  <c r="N40" i="4"/>
  <c r="Q40" i="4"/>
  <c r="AG40" i="4"/>
  <c r="U40" i="4"/>
  <c r="M40" i="4"/>
  <c r="AO40" i="4"/>
  <c r="R40" i="4"/>
  <c r="J40" i="4"/>
  <c r="Y40" i="4"/>
  <c r="I40" i="4"/>
  <c r="H40" i="4"/>
  <c r="R30" i="4"/>
  <c r="C19" i="4"/>
  <c r="D21" i="4"/>
  <c r="Z14" i="7"/>
  <c r="J14" i="7"/>
  <c r="D33" i="7"/>
  <c r="AC32" i="4"/>
  <c r="P32" i="4"/>
  <c r="AG14" i="7"/>
  <c r="S14" i="7"/>
  <c r="AH14" i="7"/>
  <c r="R14" i="7"/>
  <c r="G17" i="6"/>
  <c r="G47" i="7"/>
  <c r="G36" i="6"/>
  <c r="F7" i="10"/>
  <c r="F8" i="10"/>
  <c r="F9" i="10"/>
  <c r="G40" i="7"/>
  <c r="G39" i="7"/>
  <c r="E35" i="6"/>
  <c r="V14" i="7"/>
  <c r="M10" i="6"/>
  <c r="J30" i="4"/>
  <c r="T43" i="7"/>
  <c r="S34" i="6"/>
  <c r="C32" i="4"/>
  <c r="O10" i="6"/>
  <c r="AC55" i="4"/>
  <c r="AD10" i="6"/>
  <c r="AH30" i="4"/>
  <c r="AN14" i="7"/>
  <c r="F36" i="6"/>
  <c r="AG38" i="7"/>
  <c r="AF29" i="6"/>
  <c r="L30" i="4"/>
  <c r="C45" i="7"/>
  <c r="Y14" i="7"/>
  <c r="AG41" i="7"/>
  <c r="AF32" i="6"/>
  <c r="Q14" i="7"/>
  <c r="P48" i="4"/>
  <c r="L10" i="6"/>
  <c r="D16" i="6"/>
  <c r="K10" i="6"/>
  <c r="J10" i="6"/>
  <c r="N30" i="4"/>
  <c r="T42" i="7"/>
  <c r="S33" i="6"/>
  <c r="T14" i="7"/>
  <c r="AM10" i="6"/>
  <c r="AG10" i="6"/>
  <c r="P18" i="7"/>
  <c r="M30" i="4"/>
  <c r="X10" i="6"/>
  <c r="AF30" i="4"/>
  <c r="E13" i="3"/>
  <c r="F13" i="3"/>
  <c r="G18" i="3"/>
  <c r="AJ48" i="4"/>
  <c r="J56" i="4"/>
  <c r="J49" i="4"/>
  <c r="J19" i="7"/>
  <c r="J17" i="7"/>
  <c r="J38" i="4"/>
  <c r="J37" i="4"/>
  <c r="AH56" i="4"/>
  <c r="AH49" i="4"/>
  <c r="AH19" i="7"/>
  <c r="AH17" i="7"/>
  <c r="AH38" i="4"/>
  <c r="AH37" i="4"/>
  <c r="X49" i="4"/>
  <c r="X56" i="4"/>
  <c r="X19" i="7"/>
  <c r="X17" i="7"/>
  <c r="X38" i="4"/>
  <c r="X37" i="4"/>
  <c r="AM21" i="7"/>
  <c r="AM24" i="7"/>
  <c r="K21" i="7"/>
  <c r="W21" i="6"/>
  <c r="W30" i="7"/>
  <c r="W9" i="7"/>
  <c r="W20" i="6"/>
  <c r="AC31" i="4"/>
  <c r="AD30" i="4"/>
  <c r="AH20" i="6"/>
  <c r="AH21" i="6"/>
  <c r="AH30" i="7"/>
  <c r="AH9" i="7"/>
  <c r="AM21" i="6"/>
  <c r="AM30" i="7"/>
  <c r="AM9" i="7"/>
  <c r="AM20" i="6"/>
  <c r="G34" i="7"/>
  <c r="G30" i="6"/>
  <c r="R21" i="7"/>
  <c r="R56" i="4"/>
  <c r="R49" i="4"/>
  <c r="R19" i="7"/>
  <c r="R17" i="7"/>
  <c r="R38" i="4"/>
  <c r="R37" i="4"/>
  <c r="AK56" i="4"/>
  <c r="AK49" i="4"/>
  <c r="AK19" i="7"/>
  <c r="AK17" i="7"/>
  <c r="AK38" i="4"/>
  <c r="AK37" i="4"/>
  <c r="W56" i="4"/>
  <c r="W49" i="4"/>
  <c r="W19" i="7"/>
  <c r="W17" i="7"/>
  <c r="W38" i="4"/>
  <c r="W37" i="4"/>
  <c r="AB56" i="4"/>
  <c r="AB49" i="4"/>
  <c r="AB19" i="7"/>
  <c r="AB17" i="7"/>
  <c r="AB38" i="4"/>
  <c r="AB37" i="4"/>
  <c r="V9" i="7"/>
  <c r="V20" i="6"/>
  <c r="V21" i="6"/>
  <c r="V30" i="7"/>
  <c r="I21" i="7"/>
  <c r="I24" i="7"/>
  <c r="L21" i="7"/>
  <c r="L24" i="7"/>
  <c r="N21" i="7"/>
  <c r="N24" i="7"/>
  <c r="AB9" i="7"/>
  <c r="AB20" i="6"/>
  <c r="AB21" i="6"/>
  <c r="AB30" i="7"/>
  <c r="AL21" i="7"/>
  <c r="S9" i="7"/>
  <c r="S21" i="6"/>
  <c r="S30" i="7"/>
  <c r="S20" i="6"/>
  <c r="T9" i="7"/>
  <c r="T20" i="6"/>
  <c r="T21" i="6"/>
  <c r="T30" i="7"/>
  <c r="AJ29" i="7"/>
  <c r="AJ27" i="7"/>
  <c r="AJ18" i="6"/>
  <c r="Y9" i="7"/>
  <c r="Y20" i="6"/>
  <c r="Y21" i="6"/>
  <c r="Y30" i="7"/>
  <c r="N9" i="7"/>
  <c r="N20" i="6"/>
  <c r="N21" i="6"/>
  <c r="N30" i="7"/>
  <c r="L9" i="7"/>
  <c r="L20" i="6"/>
  <c r="L21" i="6"/>
  <c r="L30" i="7"/>
  <c r="Y21" i="7"/>
  <c r="Y24" i="7"/>
  <c r="E7" i="10"/>
  <c r="E8" i="10"/>
  <c r="E9" i="10"/>
  <c r="F25" i="6"/>
  <c r="F12" i="6"/>
  <c r="F8" i="6"/>
  <c r="F52" i="6"/>
  <c r="D20" i="4"/>
  <c r="C21" i="4"/>
  <c r="V56" i="4"/>
  <c r="V49" i="4"/>
  <c r="V19" i="7"/>
  <c r="V17" i="7"/>
  <c r="V38" i="4"/>
  <c r="V37" i="4"/>
  <c r="AI49" i="4"/>
  <c r="AI56" i="4"/>
  <c r="AI19" i="7"/>
  <c r="AI17" i="7"/>
  <c r="AI38" i="4"/>
  <c r="AI37" i="4"/>
  <c r="G11" i="7"/>
  <c r="G46" i="7"/>
  <c r="G48" i="7"/>
  <c r="U21" i="7"/>
  <c r="U24" i="7"/>
  <c r="O9" i="7"/>
  <c r="O21" i="6"/>
  <c r="O30" i="7"/>
  <c r="O20" i="6"/>
  <c r="V21" i="7"/>
  <c r="V24" i="7"/>
  <c r="S21" i="7"/>
  <c r="J21" i="7"/>
  <c r="J24" i="7"/>
  <c r="H49" i="4"/>
  <c r="H56" i="4"/>
  <c r="H19" i="7"/>
  <c r="C40" i="4"/>
  <c r="H38" i="4"/>
  <c r="H37" i="4"/>
  <c r="AG56" i="4"/>
  <c r="AG49" i="4"/>
  <c r="AG19" i="7"/>
  <c r="AG17" i="7"/>
  <c r="AG38" i="4"/>
  <c r="AG37" i="4"/>
  <c r="AL56" i="4"/>
  <c r="AL49" i="4"/>
  <c r="AL19" i="7"/>
  <c r="AL17" i="7"/>
  <c r="AL38" i="4"/>
  <c r="AL37" i="4"/>
  <c r="AM56" i="4"/>
  <c r="AM49" i="4"/>
  <c r="AM19" i="7"/>
  <c r="AM17" i="7"/>
  <c r="AM38" i="4"/>
  <c r="AM37" i="4"/>
  <c r="U42" i="7"/>
  <c r="T33" i="6"/>
  <c r="K9" i="7"/>
  <c r="K21" i="6"/>
  <c r="K30" i="7"/>
  <c r="K20" i="6"/>
  <c r="AH41" i="7"/>
  <c r="AG32" i="6"/>
  <c r="AH38" i="7"/>
  <c r="AG29" i="6"/>
  <c r="AN21" i="7"/>
  <c r="AN24" i="7"/>
  <c r="AD9" i="7"/>
  <c r="AD20" i="6"/>
  <c r="AD21" i="6"/>
  <c r="AC10" i="6"/>
  <c r="G31" i="6"/>
  <c r="I56" i="4"/>
  <c r="I49" i="4"/>
  <c r="I19" i="7"/>
  <c r="I17" i="7"/>
  <c r="I38" i="4"/>
  <c r="I37" i="4"/>
  <c r="AO56" i="4"/>
  <c r="AO49" i="4"/>
  <c r="AO19" i="7"/>
  <c r="AO17" i="7"/>
  <c r="AO38" i="4"/>
  <c r="AO37" i="4"/>
  <c r="Q56" i="4"/>
  <c r="P40" i="4"/>
  <c r="Q49" i="4"/>
  <c r="Q19" i="7"/>
  <c r="Q38" i="4"/>
  <c r="Z56" i="4"/>
  <c r="Z49" i="4"/>
  <c r="Z19" i="7"/>
  <c r="Z17" i="7"/>
  <c r="Z38" i="4"/>
  <c r="Z37" i="4"/>
  <c r="K49" i="4"/>
  <c r="K56" i="4"/>
  <c r="K19" i="7"/>
  <c r="K17" i="7"/>
  <c r="K38" i="4"/>
  <c r="K37" i="4"/>
  <c r="AA49" i="4"/>
  <c r="AA56" i="4"/>
  <c r="AA19" i="7"/>
  <c r="AA17" i="7"/>
  <c r="AA38" i="4"/>
  <c r="AA37" i="4"/>
  <c r="L56" i="4"/>
  <c r="L49" i="4"/>
  <c r="L19" i="7"/>
  <c r="L17" i="7"/>
  <c r="L38" i="4"/>
  <c r="L37" i="4"/>
  <c r="AF56" i="4"/>
  <c r="AF49" i="4"/>
  <c r="AF19" i="7"/>
  <c r="AF17" i="7"/>
  <c r="AF38" i="4"/>
  <c r="AF37" i="4"/>
  <c r="C28" i="7"/>
  <c r="E17" i="6"/>
  <c r="AI21" i="7"/>
  <c r="AI24" i="7"/>
  <c r="AL9" i="7"/>
  <c r="AL20" i="6"/>
  <c r="AL21" i="6"/>
  <c r="AL30" i="7"/>
  <c r="H9" i="7"/>
  <c r="H20" i="6"/>
  <c r="H21" i="6"/>
  <c r="H30" i="7"/>
  <c r="Z9" i="7"/>
  <c r="Z20" i="6"/>
  <c r="Z21" i="6"/>
  <c r="Z30" i="7"/>
  <c r="AA9" i="7"/>
  <c r="AA21" i="6"/>
  <c r="AA30" i="7"/>
  <c r="AA20" i="6"/>
  <c r="O21" i="7"/>
  <c r="O24" i="7"/>
  <c r="AO9" i="7"/>
  <c r="AO20" i="6"/>
  <c r="AO21" i="6"/>
  <c r="AO30" i="7"/>
  <c r="I9" i="7"/>
  <c r="I20" i="6"/>
  <c r="I21" i="6"/>
  <c r="I30" i="7"/>
  <c r="AG9" i="7"/>
  <c r="AG20" i="6"/>
  <c r="AG21" i="6"/>
  <c r="AG30" i="7"/>
  <c r="J9" i="7"/>
  <c r="J20" i="6"/>
  <c r="J21" i="6"/>
  <c r="J30" i="7"/>
  <c r="Q21" i="7"/>
  <c r="P14" i="7"/>
  <c r="U43" i="7"/>
  <c r="T34" i="6"/>
  <c r="U56" i="4"/>
  <c r="U49" i="4"/>
  <c r="U19" i="7"/>
  <c r="U17" i="7"/>
  <c r="U38" i="4"/>
  <c r="U37" i="4"/>
  <c r="S49" i="4"/>
  <c r="S56" i="4"/>
  <c r="S19" i="7"/>
  <c r="S17" i="7"/>
  <c r="S38" i="4"/>
  <c r="S37" i="4"/>
  <c r="AN56" i="4"/>
  <c r="AN49" i="4"/>
  <c r="AN19" i="7"/>
  <c r="AN17" i="7"/>
  <c r="AN38" i="4"/>
  <c r="AN37" i="4"/>
  <c r="Q30" i="4"/>
  <c r="P30" i="4"/>
  <c r="P29" i="4"/>
  <c r="P31" i="4"/>
  <c r="AJ14" i="7"/>
  <c r="AC14" i="7"/>
  <c r="AD21" i="7"/>
  <c r="AD24" i="7"/>
  <c r="AE21" i="7"/>
  <c r="AF21" i="7"/>
  <c r="AF24" i="7"/>
  <c r="AB21" i="7"/>
  <c r="AA21" i="7"/>
  <c r="AJ49" i="4"/>
  <c r="AJ47" i="4"/>
  <c r="AJ46" i="4"/>
  <c r="X9" i="7"/>
  <c r="X20" i="6"/>
  <c r="X21" i="6"/>
  <c r="X30" i="7"/>
  <c r="T21" i="7"/>
  <c r="C16" i="6"/>
  <c r="D13" i="6"/>
  <c r="C13" i="6"/>
  <c r="M20" i="6"/>
  <c r="M21" i="6"/>
  <c r="M30" i="7"/>
  <c r="M9" i="7"/>
  <c r="D6" i="10"/>
  <c r="E25" i="6"/>
  <c r="E12" i="6"/>
  <c r="E8" i="6"/>
  <c r="AH21" i="7"/>
  <c r="AG21" i="7"/>
  <c r="AG24" i="7"/>
  <c r="D31" i="7"/>
  <c r="Z21" i="7"/>
  <c r="Y56" i="4"/>
  <c r="Y49" i="4"/>
  <c r="Y19" i="7"/>
  <c r="Y17" i="7"/>
  <c r="Y38" i="4"/>
  <c r="Y37" i="4"/>
  <c r="M49" i="4"/>
  <c r="M56" i="4"/>
  <c r="M19" i="7"/>
  <c r="M17" i="7"/>
  <c r="M38" i="4"/>
  <c r="M37" i="4"/>
  <c r="N56" i="4"/>
  <c r="N49" i="4"/>
  <c r="N19" i="7"/>
  <c r="N17" i="7"/>
  <c r="N38" i="4"/>
  <c r="N37" i="4"/>
  <c r="AD56" i="4"/>
  <c r="AD49" i="4"/>
  <c r="AC40" i="4"/>
  <c r="AD19" i="7"/>
  <c r="AD38" i="4"/>
  <c r="O49" i="4"/>
  <c r="O56" i="4"/>
  <c r="O19" i="7"/>
  <c r="O17" i="7"/>
  <c r="O38" i="4"/>
  <c r="O37" i="4"/>
  <c r="AE49" i="4"/>
  <c r="AE56" i="4"/>
  <c r="AE19" i="7"/>
  <c r="AE17" i="7"/>
  <c r="AE38" i="4"/>
  <c r="AE37" i="4"/>
  <c r="T56" i="4"/>
  <c r="T49" i="4"/>
  <c r="T19" i="7"/>
  <c r="T17" i="7"/>
  <c r="T38" i="4"/>
  <c r="T37" i="4"/>
  <c r="AJ56" i="4"/>
  <c r="AJ15" i="7"/>
  <c r="AJ38" i="4"/>
  <c r="AJ37" i="4"/>
  <c r="AJ19" i="7"/>
  <c r="AJ17" i="7"/>
  <c r="M21" i="7"/>
  <c r="R20" i="6"/>
  <c r="R21" i="6"/>
  <c r="R30" i="7"/>
  <c r="R9" i="7"/>
  <c r="AN9" i="7"/>
  <c r="AN20" i="6"/>
  <c r="AN21" i="6"/>
  <c r="AN30" i="7"/>
  <c r="E52" i="6"/>
  <c r="AF9" i="7"/>
  <c r="AF20" i="6"/>
  <c r="AF21" i="6"/>
  <c r="AF30" i="7"/>
  <c r="X21" i="7"/>
  <c r="X24" i="7"/>
  <c r="D17" i="6"/>
  <c r="AK9" i="7"/>
  <c r="AK20" i="6"/>
  <c r="AK21" i="6"/>
  <c r="AK30" i="7"/>
  <c r="AC48" i="4"/>
  <c r="AI9" i="7"/>
  <c r="AI21" i="6"/>
  <c r="AI30" i="7"/>
  <c r="AI20" i="6"/>
  <c r="H21" i="7"/>
  <c r="H24" i="7"/>
  <c r="C14" i="7"/>
  <c r="K36" i="7"/>
  <c r="K27" i="6"/>
  <c r="L35" i="7"/>
  <c r="K26" i="6"/>
  <c r="AO21" i="7"/>
  <c r="AO24" i="7"/>
  <c r="Q9" i="7"/>
  <c r="Q20" i="6"/>
  <c r="Q21" i="6"/>
  <c r="P10" i="6"/>
  <c r="AK21" i="7"/>
  <c r="AK24" i="7"/>
  <c r="AE9" i="7"/>
  <c r="AE21" i="6"/>
  <c r="AE30" i="7"/>
  <c r="AE20" i="6"/>
  <c r="W21" i="7"/>
  <c r="W24" i="7"/>
  <c r="U9" i="7"/>
  <c r="U20" i="6"/>
  <c r="U21" i="6"/>
  <c r="U30" i="7"/>
  <c r="Q29" i="7"/>
  <c r="P20" i="6"/>
  <c r="Q18" i="6"/>
  <c r="N11" i="6"/>
  <c r="N54" i="4"/>
  <c r="N53" i="4"/>
  <c r="S15" i="7"/>
  <c r="S47" i="4"/>
  <c r="S46" i="4"/>
  <c r="P19" i="7"/>
  <c r="Q17" i="7"/>
  <c r="P17" i="7"/>
  <c r="AC21" i="6"/>
  <c r="AD30" i="7"/>
  <c r="AC30" i="7"/>
  <c r="AI38" i="7"/>
  <c r="AH29" i="6"/>
  <c r="L29" i="7"/>
  <c r="L27" i="7"/>
  <c r="L18" i="6"/>
  <c r="W11" i="6"/>
  <c r="W54" i="4"/>
  <c r="W53" i="4"/>
  <c r="R11" i="6"/>
  <c r="R54" i="4"/>
  <c r="R53" i="4"/>
  <c r="AM29" i="7"/>
  <c r="AM27" i="7"/>
  <c r="AM18" i="6"/>
  <c r="U29" i="7"/>
  <c r="U27" i="7"/>
  <c r="U18" i="6"/>
  <c r="P9" i="7"/>
  <c r="C21" i="7"/>
  <c r="AI29" i="7"/>
  <c r="AI27" i="7"/>
  <c r="AI18" i="6"/>
  <c r="AK29" i="7"/>
  <c r="AK27" i="7"/>
  <c r="AK18" i="6"/>
  <c r="AC19" i="7"/>
  <c r="AD17" i="7"/>
  <c r="AC17" i="7"/>
  <c r="AJ21" i="7"/>
  <c r="AJ24" i="7"/>
  <c r="AJ13" i="7"/>
  <c r="AA29" i="7"/>
  <c r="AA27" i="7"/>
  <c r="AA18" i="6"/>
  <c r="AF15" i="7"/>
  <c r="AF47" i="4"/>
  <c r="AF46" i="4"/>
  <c r="L15" i="7"/>
  <c r="L47" i="4"/>
  <c r="L46" i="4"/>
  <c r="AA11" i="6"/>
  <c r="AA54" i="4"/>
  <c r="AA53" i="4"/>
  <c r="K11" i="6"/>
  <c r="K54" i="4"/>
  <c r="K53" i="4"/>
  <c r="Z15" i="7"/>
  <c r="Z47" i="4"/>
  <c r="Z46" i="4"/>
  <c r="Q15" i="7"/>
  <c r="P49" i="4"/>
  <c r="Q47" i="4"/>
  <c r="AD29" i="7"/>
  <c r="AC20" i="6"/>
  <c r="AD18" i="6"/>
  <c r="K29" i="7"/>
  <c r="K27" i="7"/>
  <c r="K18" i="6"/>
  <c r="AM15" i="7"/>
  <c r="AM47" i="4"/>
  <c r="AM46" i="4"/>
  <c r="AL15" i="7"/>
  <c r="AL47" i="4"/>
  <c r="AL46" i="4"/>
  <c r="AG15" i="7"/>
  <c r="AG47" i="4"/>
  <c r="AG46" i="4"/>
  <c r="C19" i="7"/>
  <c r="H17" i="7"/>
  <c r="C17" i="7"/>
  <c r="O29" i="7"/>
  <c r="O27" i="7"/>
  <c r="O18" i="6"/>
  <c r="AI11" i="6"/>
  <c r="AI54" i="4"/>
  <c r="AI53" i="4"/>
  <c r="V15" i="7"/>
  <c r="V47" i="4"/>
  <c r="V46" i="4"/>
  <c r="X11" i="6"/>
  <c r="X54" i="4"/>
  <c r="X53" i="4"/>
  <c r="AH15" i="7"/>
  <c r="AH47" i="4"/>
  <c r="AH46" i="4"/>
  <c r="J15" i="7"/>
  <c r="J47" i="4"/>
  <c r="J46" i="4"/>
  <c r="AD11" i="6"/>
  <c r="AC56" i="4"/>
  <c r="AD54" i="4"/>
  <c r="Y11" i="6"/>
  <c r="Y54" i="4"/>
  <c r="Y53" i="4"/>
  <c r="AN11" i="6"/>
  <c r="AN54" i="4"/>
  <c r="AN53" i="4"/>
  <c r="D31" i="4"/>
  <c r="C20" i="4"/>
  <c r="N29" i="7"/>
  <c r="N27" i="7"/>
  <c r="N18" i="6"/>
  <c r="S29" i="7"/>
  <c r="S27" i="7"/>
  <c r="S18" i="6"/>
  <c r="AE29" i="7"/>
  <c r="AE27" i="7"/>
  <c r="AE18" i="6"/>
  <c r="AJ22" i="7"/>
  <c r="AJ25" i="7"/>
  <c r="O11" i="6"/>
  <c r="O54" i="4"/>
  <c r="O53" i="4"/>
  <c r="M29" i="7"/>
  <c r="M27" i="7"/>
  <c r="M18" i="6"/>
  <c r="X29" i="7"/>
  <c r="X27" i="7"/>
  <c r="X18" i="6"/>
  <c r="AC21" i="7"/>
  <c r="V43" i="7"/>
  <c r="U34" i="6"/>
  <c r="P21" i="7"/>
  <c r="J29" i="7"/>
  <c r="J27" i="7"/>
  <c r="J18" i="6"/>
  <c r="AG29" i="7"/>
  <c r="AG27" i="7"/>
  <c r="AG18" i="6"/>
  <c r="I29" i="7"/>
  <c r="I27" i="7"/>
  <c r="I18" i="6"/>
  <c r="Z29" i="7"/>
  <c r="Z27" i="7"/>
  <c r="Z18" i="6"/>
  <c r="H29" i="7"/>
  <c r="H27" i="7"/>
  <c r="H18" i="6"/>
  <c r="AL29" i="7"/>
  <c r="AL27" i="7"/>
  <c r="AL18" i="6"/>
  <c r="AF11" i="6"/>
  <c r="AF54" i="4"/>
  <c r="AF53" i="4"/>
  <c r="L11" i="6"/>
  <c r="L54" i="4"/>
  <c r="L53" i="4"/>
  <c r="AA15" i="7"/>
  <c r="AA47" i="4"/>
  <c r="AA46" i="4"/>
  <c r="K15" i="7"/>
  <c r="K47" i="4"/>
  <c r="K46" i="4"/>
  <c r="Z11" i="6"/>
  <c r="Z54" i="4"/>
  <c r="Z53" i="4"/>
  <c r="AO15" i="7"/>
  <c r="AO47" i="4"/>
  <c r="AO46" i="4"/>
  <c r="I15" i="7"/>
  <c r="I47" i="4"/>
  <c r="I46" i="4"/>
  <c r="AC9" i="7"/>
  <c r="V42" i="7"/>
  <c r="U33" i="6"/>
  <c r="AM11" i="6"/>
  <c r="AM54" i="4"/>
  <c r="AM53" i="4"/>
  <c r="AL11" i="6"/>
  <c r="AL54" i="4"/>
  <c r="AL53" i="4"/>
  <c r="AG11" i="6"/>
  <c r="AG54" i="4"/>
  <c r="AG53" i="4"/>
  <c r="H11" i="6"/>
  <c r="C56" i="4"/>
  <c r="H54" i="4"/>
  <c r="H53" i="4"/>
  <c r="AI15" i="7"/>
  <c r="AI47" i="4"/>
  <c r="AI46" i="4"/>
  <c r="V11" i="6"/>
  <c r="V54" i="4"/>
  <c r="V53" i="4"/>
  <c r="T29" i="7"/>
  <c r="T27" i="7"/>
  <c r="T18" i="6"/>
  <c r="AB29" i="7"/>
  <c r="AB27" i="7"/>
  <c r="AB18" i="6"/>
  <c r="AH29" i="7"/>
  <c r="AH27" i="7"/>
  <c r="AH18" i="6"/>
  <c r="W29" i="7"/>
  <c r="W27" i="7"/>
  <c r="W18" i="6"/>
  <c r="X15" i="7"/>
  <c r="X47" i="4"/>
  <c r="X46" i="4"/>
  <c r="AH11" i="6"/>
  <c r="AH54" i="4"/>
  <c r="AH53" i="4"/>
  <c r="J11" i="6"/>
  <c r="J54" i="4"/>
  <c r="J53" i="4"/>
  <c r="R29" i="7"/>
  <c r="R27" i="7"/>
  <c r="R18" i="6"/>
  <c r="AD37" i="4"/>
  <c r="AC38" i="4"/>
  <c r="AC37" i="4"/>
  <c r="M15" i="7"/>
  <c r="M47" i="4"/>
  <c r="M46" i="4"/>
  <c r="U11" i="6"/>
  <c r="U54" i="4"/>
  <c r="U53" i="4"/>
  <c r="Y29" i="7"/>
  <c r="Y27" i="7"/>
  <c r="Y18" i="6"/>
  <c r="AB11" i="6"/>
  <c r="AB54" i="4"/>
  <c r="AB53" i="4"/>
  <c r="AK11" i="6"/>
  <c r="AK54" i="4"/>
  <c r="AK53" i="4"/>
  <c r="G25" i="6"/>
  <c r="G12" i="6"/>
  <c r="G8" i="6"/>
  <c r="G52" i="6"/>
  <c r="Q30" i="7"/>
  <c r="P30" i="7"/>
  <c r="P21" i="6"/>
  <c r="AF29" i="7"/>
  <c r="AF27" i="7"/>
  <c r="AF18" i="6"/>
  <c r="T15" i="7"/>
  <c r="T47" i="4"/>
  <c r="T46" i="4"/>
  <c r="AE11" i="6"/>
  <c r="AE54" i="4"/>
  <c r="AE53" i="4"/>
  <c r="D8" i="10"/>
  <c r="D9" i="10"/>
  <c r="L36" i="7"/>
  <c r="L27" i="6"/>
  <c r="M35" i="7"/>
  <c r="L26" i="6"/>
  <c r="AN29" i="7"/>
  <c r="AN27" i="7"/>
  <c r="AN18" i="6"/>
  <c r="M24" i="7"/>
  <c r="AJ11" i="6"/>
  <c r="AJ54" i="4"/>
  <c r="AJ53" i="4"/>
  <c r="T11" i="6"/>
  <c r="T54" i="4"/>
  <c r="T53" i="4"/>
  <c r="AE15" i="7"/>
  <c r="AE47" i="4"/>
  <c r="AE46" i="4"/>
  <c r="O15" i="7"/>
  <c r="O47" i="4"/>
  <c r="O46" i="4"/>
  <c r="AD15" i="7"/>
  <c r="AC49" i="4"/>
  <c r="AD47" i="4"/>
  <c r="N15" i="7"/>
  <c r="N47" i="4"/>
  <c r="N46" i="4"/>
  <c r="M11" i="6"/>
  <c r="M54" i="4"/>
  <c r="M53" i="4"/>
  <c r="Y15" i="7"/>
  <c r="Y47" i="4"/>
  <c r="Y46" i="4"/>
  <c r="Z24" i="7"/>
  <c r="AH24" i="7"/>
  <c r="T24" i="7"/>
  <c r="AA24" i="7"/>
  <c r="AB24" i="7"/>
  <c r="AE24" i="7"/>
  <c r="AN15" i="7"/>
  <c r="AN47" i="4"/>
  <c r="AN46" i="4"/>
  <c r="S11" i="6"/>
  <c r="S54" i="4"/>
  <c r="S53" i="4"/>
  <c r="U15" i="7"/>
  <c r="U47" i="4"/>
  <c r="U46" i="4"/>
  <c r="Q24" i="7"/>
  <c r="AO29" i="7"/>
  <c r="AO27" i="7"/>
  <c r="AO18" i="6"/>
  <c r="Q37" i="4"/>
  <c r="P38" i="4"/>
  <c r="P37" i="4"/>
  <c r="Q11" i="6"/>
  <c r="P56" i="4"/>
  <c r="Q54" i="4"/>
  <c r="AO11" i="6"/>
  <c r="AO54" i="4"/>
  <c r="AO53" i="4"/>
  <c r="I11" i="6"/>
  <c r="I54" i="4"/>
  <c r="I53" i="4"/>
  <c r="AI41" i="7"/>
  <c r="AH32" i="6"/>
  <c r="H15" i="7"/>
  <c r="C49" i="4"/>
  <c r="H47" i="4"/>
  <c r="H46" i="4"/>
  <c r="S24" i="7"/>
  <c r="AL24" i="7"/>
  <c r="V29" i="7"/>
  <c r="V27" i="7"/>
  <c r="V18" i="6"/>
  <c r="AB15" i="7"/>
  <c r="AB47" i="4"/>
  <c r="AB46" i="4"/>
  <c r="W15" i="7"/>
  <c r="W47" i="4"/>
  <c r="W46" i="4"/>
  <c r="AK15" i="7"/>
  <c r="AK47" i="4"/>
  <c r="AK46" i="4"/>
  <c r="R15" i="7"/>
  <c r="R47" i="4"/>
  <c r="R46" i="4"/>
  <c r="R24" i="7"/>
  <c r="AD29" i="4"/>
  <c r="AC30" i="4"/>
  <c r="AC29" i="4"/>
  <c r="K24" i="7"/>
  <c r="C24" i="7"/>
  <c r="R22" i="7"/>
  <c r="R20" i="7"/>
  <c r="R16" i="7"/>
  <c r="R13" i="7"/>
  <c r="W22" i="7"/>
  <c r="W20" i="7"/>
  <c r="W16" i="7"/>
  <c r="W25" i="7"/>
  <c r="W23" i="7"/>
  <c r="W35" i="6"/>
  <c r="V6" i="10"/>
  <c r="W13" i="7"/>
  <c r="P24" i="7"/>
  <c r="S10" i="7"/>
  <c r="S8" i="7"/>
  <c r="S7" i="7"/>
  <c r="S23" i="6"/>
  <c r="S24" i="6"/>
  <c r="S33" i="7"/>
  <c r="S9" i="6"/>
  <c r="AC47" i="4"/>
  <c r="AC46" i="4"/>
  <c r="AD46" i="4"/>
  <c r="O22" i="7"/>
  <c r="O20" i="7"/>
  <c r="O16" i="7"/>
  <c r="O25" i="7"/>
  <c r="O23" i="7"/>
  <c r="O35" i="6"/>
  <c r="N6" i="10"/>
  <c r="O13" i="7"/>
  <c r="T10" i="7"/>
  <c r="T8" i="7"/>
  <c r="T7" i="7"/>
  <c r="T23" i="6"/>
  <c r="T24" i="6"/>
  <c r="T33" i="7"/>
  <c r="T9" i="6"/>
  <c r="T22" i="7"/>
  <c r="T20" i="7"/>
  <c r="T16" i="7"/>
  <c r="T13" i="7"/>
  <c r="J10" i="7"/>
  <c r="J8" i="7"/>
  <c r="J7" i="7"/>
  <c r="J24" i="6"/>
  <c r="J33" i="7"/>
  <c r="J23" i="6"/>
  <c r="J9" i="6"/>
  <c r="X22" i="7"/>
  <c r="X20" i="7"/>
  <c r="X16" i="7"/>
  <c r="X25" i="7"/>
  <c r="X23" i="7"/>
  <c r="X35" i="6"/>
  <c r="W6" i="10"/>
  <c r="X13" i="7"/>
  <c r="V10" i="7"/>
  <c r="V8" i="7"/>
  <c r="V7" i="7"/>
  <c r="V24" i="6"/>
  <c r="V33" i="7"/>
  <c r="V23" i="6"/>
  <c r="V9" i="6"/>
  <c r="AG10" i="7"/>
  <c r="AG8" i="7"/>
  <c r="AG7" i="7"/>
  <c r="AG23" i="6"/>
  <c r="AG24" i="6"/>
  <c r="AG33" i="7"/>
  <c r="AG9" i="6"/>
  <c r="AM10" i="7"/>
  <c r="AM8" i="7"/>
  <c r="AM7" i="7"/>
  <c r="AM23" i="6"/>
  <c r="AM24" i="6"/>
  <c r="AM33" i="7"/>
  <c r="AM9" i="6"/>
  <c r="AN10" i="7"/>
  <c r="AN8" i="7"/>
  <c r="AN7" i="7"/>
  <c r="AN23" i="6"/>
  <c r="AN24" i="6"/>
  <c r="AN33" i="7"/>
  <c r="AN9" i="6"/>
  <c r="AD53" i="4"/>
  <c r="AC54" i="4"/>
  <c r="AC53" i="4"/>
  <c r="AH22" i="7"/>
  <c r="AH20" i="7"/>
  <c r="AH16" i="7"/>
  <c r="AH13" i="7"/>
  <c r="Q46" i="4"/>
  <c r="P47" i="4"/>
  <c r="P46" i="4"/>
  <c r="Z22" i="7"/>
  <c r="Z20" i="7"/>
  <c r="Z16" i="7"/>
  <c r="Z13" i="7"/>
  <c r="AA10" i="7"/>
  <c r="AA8" i="7"/>
  <c r="AA7" i="7"/>
  <c r="AA23" i="6"/>
  <c r="AA24" i="6"/>
  <c r="AA33" i="7"/>
  <c r="AA9" i="6"/>
  <c r="AF22" i="7"/>
  <c r="AF20" i="7"/>
  <c r="AF16" i="7"/>
  <c r="AF25" i="7"/>
  <c r="AF23" i="7"/>
  <c r="AF35" i="6"/>
  <c r="AE6" i="10"/>
  <c r="AF13" i="7"/>
  <c r="AJ23" i="7"/>
  <c r="AJ35" i="6"/>
  <c r="AI6" i="10"/>
  <c r="W10" i="7"/>
  <c r="W8" i="7"/>
  <c r="W7" i="7"/>
  <c r="W23" i="6"/>
  <c r="W24" i="6"/>
  <c r="W33" i="7"/>
  <c r="W9" i="6"/>
  <c r="P18" i="6"/>
  <c r="AC24" i="7"/>
  <c r="H22" i="7"/>
  <c r="H25" i="7"/>
  <c r="C15" i="7"/>
  <c r="H13" i="7"/>
  <c r="P54" i="4"/>
  <c r="Q53" i="4"/>
  <c r="P53" i="4"/>
  <c r="AA22" i="7"/>
  <c r="AA25" i="7"/>
  <c r="AA23" i="7"/>
  <c r="AA35" i="6"/>
  <c r="Z6" i="10"/>
  <c r="M10" i="7"/>
  <c r="M8" i="7"/>
  <c r="M7" i="7"/>
  <c r="M23" i="6"/>
  <c r="M24" i="6"/>
  <c r="M33" i="7"/>
  <c r="M9" i="6"/>
  <c r="AB10" i="7"/>
  <c r="AB8" i="7"/>
  <c r="AB7" i="7"/>
  <c r="AB23" i="6"/>
  <c r="AB24" i="6"/>
  <c r="AB33" i="7"/>
  <c r="AB9" i="6"/>
  <c r="U10" i="7"/>
  <c r="U8" i="7"/>
  <c r="U7" i="7"/>
  <c r="U23" i="6"/>
  <c r="U24" i="6"/>
  <c r="U33" i="7"/>
  <c r="U9" i="6"/>
  <c r="I22" i="7"/>
  <c r="I20" i="7"/>
  <c r="I16" i="7"/>
  <c r="I13" i="7"/>
  <c r="I12" i="7"/>
  <c r="Z10" i="7"/>
  <c r="Z8" i="7"/>
  <c r="Z7" i="7"/>
  <c r="Z24" i="6"/>
  <c r="Z33" i="7"/>
  <c r="Z23" i="6"/>
  <c r="Z9" i="6"/>
  <c r="AA20" i="7"/>
  <c r="AA16" i="7"/>
  <c r="AA13" i="7"/>
  <c r="AF10" i="7"/>
  <c r="AF8" i="7"/>
  <c r="AF7" i="7"/>
  <c r="AF23" i="6"/>
  <c r="AF24" i="6"/>
  <c r="AF33" i="7"/>
  <c r="AF9" i="6"/>
  <c r="C18" i="6"/>
  <c r="O10" i="7"/>
  <c r="O8" i="7"/>
  <c r="O7" i="7"/>
  <c r="O23" i="6"/>
  <c r="O24" i="6"/>
  <c r="O33" i="7"/>
  <c r="O9" i="6"/>
  <c r="D30" i="4"/>
  <c r="D48" i="4"/>
  <c r="C31" i="4"/>
  <c r="D39" i="4"/>
  <c r="AI10" i="7"/>
  <c r="AI8" i="7"/>
  <c r="AI7" i="7"/>
  <c r="AI23" i="6"/>
  <c r="AI24" i="6"/>
  <c r="AI33" i="7"/>
  <c r="AI9" i="6"/>
  <c r="AG22" i="7"/>
  <c r="AG20" i="7"/>
  <c r="AG16" i="7"/>
  <c r="AG13" i="7"/>
  <c r="AG12" i="7"/>
  <c r="AM22" i="7"/>
  <c r="AM20" i="7"/>
  <c r="AM16" i="7"/>
  <c r="AM25" i="7"/>
  <c r="AM23" i="7"/>
  <c r="AM35" i="6"/>
  <c r="AL6" i="10"/>
  <c r="AM13" i="7"/>
  <c r="AC18" i="6"/>
  <c r="S22" i="7"/>
  <c r="S20" i="7"/>
  <c r="S16" i="7"/>
  <c r="S13" i="7"/>
  <c r="S12" i="7"/>
  <c r="S25" i="7"/>
  <c r="R10" i="7"/>
  <c r="R8" i="7"/>
  <c r="R7" i="7"/>
  <c r="R24" i="6"/>
  <c r="R33" i="7"/>
  <c r="R23" i="6"/>
  <c r="R9" i="6"/>
  <c r="P29" i="7"/>
  <c r="Q27" i="7"/>
  <c r="AO23" i="6"/>
  <c r="AO10" i="7"/>
  <c r="AO8" i="7"/>
  <c r="AO7" i="7"/>
  <c r="AO24" i="6"/>
  <c r="AO33" i="7"/>
  <c r="AO9" i="6"/>
  <c r="AK22" i="7"/>
  <c r="AK20" i="7"/>
  <c r="AK16" i="7"/>
  <c r="AK13" i="7"/>
  <c r="AB22" i="7"/>
  <c r="AB25" i="7"/>
  <c r="AB23" i="7"/>
  <c r="AB35" i="6"/>
  <c r="AA6" i="10"/>
  <c r="AB20" i="7"/>
  <c r="AB16" i="7"/>
  <c r="AB13" i="7"/>
  <c r="S23" i="7"/>
  <c r="S35" i="6"/>
  <c r="R6" i="10"/>
  <c r="I23" i="6"/>
  <c r="I24" i="6"/>
  <c r="I33" i="7"/>
  <c r="I10" i="7"/>
  <c r="I8" i="7"/>
  <c r="I7" i="7"/>
  <c r="I9" i="6"/>
  <c r="U22" i="7"/>
  <c r="U20" i="7"/>
  <c r="U16" i="7"/>
  <c r="U13" i="7"/>
  <c r="U12" i="7"/>
  <c r="AN22" i="7"/>
  <c r="AN20" i="7"/>
  <c r="AN16" i="7"/>
  <c r="AN25" i="7"/>
  <c r="AN23" i="7"/>
  <c r="AN35" i="6"/>
  <c r="AM6" i="10"/>
  <c r="AN13" i="7"/>
  <c r="AC15" i="7"/>
  <c r="AD22" i="7"/>
  <c r="AD13" i="7"/>
  <c r="AE13" i="7"/>
  <c r="AI13" i="7"/>
  <c r="AL13" i="7"/>
  <c r="AO13" i="7"/>
  <c r="AC13" i="7"/>
  <c r="AE22" i="7"/>
  <c r="AE20" i="7"/>
  <c r="AE16" i="7"/>
  <c r="AE25" i="7"/>
  <c r="AJ23" i="6"/>
  <c r="AJ10" i="7"/>
  <c r="AJ8" i="7"/>
  <c r="AJ7" i="7"/>
  <c r="AJ24" i="6"/>
  <c r="AJ33" i="7"/>
  <c r="AJ9" i="6"/>
  <c r="AE10" i="7"/>
  <c r="AE8" i="7"/>
  <c r="AE7" i="7"/>
  <c r="AE23" i="6"/>
  <c r="AE24" i="6"/>
  <c r="AE33" i="7"/>
  <c r="AE9" i="6"/>
  <c r="AH10" i="7"/>
  <c r="AH8" i="7"/>
  <c r="AH7" i="7"/>
  <c r="AH24" i="6"/>
  <c r="AH33" i="7"/>
  <c r="AH23" i="6"/>
  <c r="AH9" i="6"/>
  <c r="AI22" i="7"/>
  <c r="AI20" i="7"/>
  <c r="AI16" i="7"/>
  <c r="AI25" i="7"/>
  <c r="AI23" i="7"/>
  <c r="AI35" i="6"/>
  <c r="AH6" i="10"/>
  <c r="H10" i="7"/>
  <c r="H23" i="6"/>
  <c r="H24" i="6"/>
  <c r="C11" i="6"/>
  <c r="H9" i="6"/>
  <c r="AL10" i="7"/>
  <c r="AL8" i="7"/>
  <c r="AL7" i="7"/>
  <c r="AL24" i="6"/>
  <c r="AL33" i="7"/>
  <c r="AL23" i="6"/>
  <c r="AL9" i="6"/>
  <c r="W42" i="7"/>
  <c r="V33" i="6"/>
  <c r="AD24" i="6"/>
  <c r="AC11" i="6"/>
  <c r="AD23" i="6"/>
  <c r="AD10" i="7"/>
  <c r="AD9" i="6"/>
  <c r="J22" i="7"/>
  <c r="J20" i="7"/>
  <c r="J16" i="7"/>
  <c r="J13" i="7"/>
  <c r="J12" i="7"/>
  <c r="X10" i="7"/>
  <c r="X8" i="7"/>
  <c r="X7" i="7"/>
  <c r="X23" i="6"/>
  <c r="X24" i="6"/>
  <c r="X33" i="7"/>
  <c r="X9" i="6"/>
  <c r="P15" i="7"/>
  <c r="Q22" i="7"/>
  <c r="Q13" i="7"/>
  <c r="V13" i="7"/>
  <c r="Y13" i="7"/>
  <c r="P13" i="7"/>
  <c r="K10" i="7"/>
  <c r="K8" i="7"/>
  <c r="K7" i="7"/>
  <c r="K23" i="6"/>
  <c r="K24" i="6"/>
  <c r="K33" i="7"/>
  <c r="K9" i="6"/>
  <c r="L22" i="7"/>
  <c r="L20" i="7"/>
  <c r="L16" i="7"/>
  <c r="L13" i="7"/>
  <c r="K22" i="7"/>
  <c r="K25" i="7"/>
  <c r="K23" i="7"/>
  <c r="K35" i="6"/>
  <c r="J6" i="10"/>
  <c r="AJ41" i="7"/>
  <c r="AI32" i="6"/>
  <c r="Q10" i="7"/>
  <c r="Q23" i="6"/>
  <c r="Q24" i="6"/>
  <c r="P11" i="6"/>
  <c r="Q9" i="6"/>
  <c r="AE23" i="7"/>
  <c r="AE35" i="6"/>
  <c r="AD6" i="10"/>
  <c r="Y22" i="7"/>
  <c r="Y20" i="7"/>
  <c r="Y16" i="7"/>
  <c r="N22" i="7"/>
  <c r="N25" i="7"/>
  <c r="N23" i="7"/>
  <c r="N35" i="6"/>
  <c r="M6" i="10"/>
  <c r="N20" i="7"/>
  <c r="N16" i="7"/>
  <c r="N13" i="7"/>
  <c r="N35" i="7"/>
  <c r="M36" i="7"/>
  <c r="M27" i="6"/>
  <c r="M26" i="6"/>
  <c r="AK10" i="7"/>
  <c r="AK8" i="7"/>
  <c r="AK7" i="7"/>
  <c r="AK23" i="6"/>
  <c r="AK24" i="6"/>
  <c r="AK33" i="7"/>
  <c r="AK9" i="6"/>
  <c r="M22" i="7"/>
  <c r="M20" i="7"/>
  <c r="M16" i="7"/>
  <c r="M13" i="7"/>
  <c r="AO22" i="7"/>
  <c r="AO20" i="7"/>
  <c r="AO16" i="7"/>
  <c r="AO12" i="7"/>
  <c r="K20" i="7"/>
  <c r="K16" i="7"/>
  <c r="K13" i="7"/>
  <c r="L10" i="7"/>
  <c r="L8" i="7"/>
  <c r="L7" i="7"/>
  <c r="L23" i="6"/>
  <c r="L24" i="6"/>
  <c r="L33" i="7"/>
  <c r="L9" i="6"/>
  <c r="W43" i="7"/>
  <c r="V34" i="6"/>
  <c r="Y10" i="7"/>
  <c r="Y8" i="7"/>
  <c r="Y7" i="7"/>
  <c r="Y23" i="6"/>
  <c r="Y24" i="6"/>
  <c r="Y33" i="7"/>
  <c r="Y9" i="6"/>
  <c r="V22" i="7"/>
  <c r="V20" i="7"/>
  <c r="V16" i="7"/>
  <c r="AL22" i="7"/>
  <c r="AL20" i="7"/>
  <c r="AL16" i="7"/>
  <c r="AC29" i="7"/>
  <c r="AD27" i="7"/>
  <c r="AJ20" i="7"/>
  <c r="AJ16" i="7"/>
  <c r="AJ12" i="7"/>
  <c r="AJ38" i="7"/>
  <c r="AI29" i="6"/>
  <c r="N24" i="6"/>
  <c r="N33" i="7"/>
  <c r="N10" i="7"/>
  <c r="N8" i="7"/>
  <c r="N7" i="7"/>
  <c r="N23" i="6"/>
  <c r="N9" i="6"/>
  <c r="H23" i="7"/>
  <c r="AI40" i="7"/>
  <c r="AI31" i="6"/>
  <c r="AI47" i="7"/>
  <c r="AI36" i="6"/>
  <c r="AH7" i="10"/>
  <c r="AH8" i="10"/>
  <c r="AH9" i="10"/>
  <c r="AI39" i="7"/>
  <c r="M32" i="7"/>
  <c r="M31" i="7"/>
  <c r="M26" i="7"/>
  <c r="M22" i="6"/>
  <c r="M17" i="6"/>
  <c r="W47" i="7"/>
  <c r="W36" i="6"/>
  <c r="V7" i="10"/>
  <c r="V8" i="10"/>
  <c r="V9" i="10"/>
  <c r="W40" i="7"/>
  <c r="W31" i="6"/>
  <c r="W39" i="7"/>
  <c r="Z12" i="7"/>
  <c r="AN47" i="7"/>
  <c r="AN36" i="6"/>
  <c r="AM7" i="10"/>
  <c r="AN40" i="7"/>
  <c r="AN31" i="6"/>
  <c r="AN39" i="7"/>
  <c r="AN30" i="6"/>
  <c r="AM32" i="7"/>
  <c r="AM22" i="6"/>
  <c r="AM17" i="6"/>
  <c r="AG32" i="7"/>
  <c r="AG22" i="6"/>
  <c r="AG17" i="6"/>
  <c r="J32" i="7"/>
  <c r="J31" i="7"/>
  <c r="J26" i="7"/>
  <c r="J22" i="6"/>
  <c r="J17" i="6"/>
  <c r="S32" i="7"/>
  <c r="S31" i="7"/>
  <c r="S26" i="7"/>
  <c r="S22" i="6"/>
  <c r="S17" i="6"/>
  <c r="R12" i="7"/>
  <c r="N32" i="7"/>
  <c r="N22" i="6"/>
  <c r="N17" i="6"/>
  <c r="N36" i="7"/>
  <c r="N27" i="6"/>
  <c r="O35" i="7"/>
  <c r="N26" i="6"/>
  <c r="C35" i="7"/>
  <c r="AD32" i="7"/>
  <c r="AC23" i="6"/>
  <c r="AD22" i="6"/>
  <c r="AJ32" i="7"/>
  <c r="AJ22" i="6"/>
  <c r="AJ17" i="6"/>
  <c r="AO32" i="7"/>
  <c r="AO22" i="6"/>
  <c r="AO17" i="6"/>
  <c r="R32" i="7"/>
  <c r="R31" i="7"/>
  <c r="R26" i="7"/>
  <c r="R22" i="6"/>
  <c r="R17" i="6"/>
  <c r="U47" i="7"/>
  <c r="U36" i="6"/>
  <c r="T7" i="10"/>
  <c r="U39" i="7"/>
  <c r="U40" i="7"/>
  <c r="U31" i="6"/>
  <c r="W32" i="7"/>
  <c r="W22" i="6"/>
  <c r="W17" i="6"/>
  <c r="AN32" i="7"/>
  <c r="AN22" i="6"/>
  <c r="AN17" i="6"/>
  <c r="AM31" i="7"/>
  <c r="AM26" i="7"/>
  <c r="V32" i="7"/>
  <c r="V31" i="7"/>
  <c r="V26" i="7"/>
  <c r="V22" i="6"/>
  <c r="V17" i="6"/>
  <c r="AK38" i="7"/>
  <c r="AJ29" i="6"/>
  <c r="AO25" i="7"/>
  <c r="AO23" i="7"/>
  <c r="AO35" i="6"/>
  <c r="AN6" i="10"/>
  <c r="AO47" i="7"/>
  <c r="AO36" i="6"/>
  <c r="AN7" i="10"/>
  <c r="AN8" i="10"/>
  <c r="AN9" i="10"/>
  <c r="Q33" i="7"/>
  <c r="P24" i="6"/>
  <c r="P22" i="7"/>
  <c r="Q20" i="7"/>
  <c r="AE32" i="7"/>
  <c r="AE31" i="7"/>
  <c r="AE26" i="7"/>
  <c r="I47" i="7"/>
  <c r="I36" i="6"/>
  <c r="H7" i="10"/>
  <c r="I39" i="7"/>
  <c r="I40" i="7"/>
  <c r="I31" i="6"/>
  <c r="I25" i="7"/>
  <c r="I23" i="7"/>
  <c r="I35" i="6"/>
  <c r="H6" i="10"/>
  <c r="AC27" i="7"/>
  <c r="V12" i="7"/>
  <c r="K12" i="7"/>
  <c r="M25" i="7"/>
  <c r="M23" i="7"/>
  <c r="M35" i="6"/>
  <c r="L6" i="10"/>
  <c r="M47" i="7"/>
  <c r="M36" i="6"/>
  <c r="L7" i="10"/>
  <c r="L8" i="10"/>
  <c r="L9" i="10"/>
  <c r="Q32" i="7"/>
  <c r="P23" i="6"/>
  <c r="Q22" i="6"/>
  <c r="AK41" i="7"/>
  <c r="AJ32" i="6"/>
  <c r="K32" i="7"/>
  <c r="K22" i="6"/>
  <c r="K17" i="6"/>
  <c r="X47" i="7"/>
  <c r="X36" i="6"/>
  <c r="W7" i="10"/>
  <c r="X40" i="7"/>
  <c r="X31" i="6"/>
  <c r="X39" i="7"/>
  <c r="AD33" i="7"/>
  <c r="AC24" i="6"/>
  <c r="H33" i="7"/>
  <c r="C24" i="6"/>
  <c r="AE22" i="6"/>
  <c r="AE17" i="6"/>
  <c r="AJ31" i="7"/>
  <c r="AJ26" i="7"/>
  <c r="AK12" i="7"/>
  <c r="AO31" i="7"/>
  <c r="AO26" i="7"/>
  <c r="P27" i="7"/>
  <c r="R47" i="7"/>
  <c r="R36" i="6"/>
  <c r="Q7" i="10"/>
  <c r="R39" i="7"/>
  <c r="R40" i="7"/>
  <c r="R31" i="6"/>
  <c r="AM12" i="7"/>
  <c r="C39" i="4"/>
  <c r="D38" i="4"/>
  <c r="O32" i="7"/>
  <c r="O31" i="7"/>
  <c r="O26" i="7"/>
  <c r="O22" i="6"/>
  <c r="O17" i="6"/>
  <c r="AF32" i="7"/>
  <c r="AF31" i="7"/>
  <c r="AF26" i="7"/>
  <c r="AF22" i="6"/>
  <c r="AF17" i="6"/>
  <c r="AA12" i="7"/>
  <c r="Z47" i="7"/>
  <c r="Z36" i="6"/>
  <c r="Y7" i="10"/>
  <c r="Z39" i="7"/>
  <c r="Z40" i="7"/>
  <c r="Z31" i="6"/>
  <c r="U32" i="7"/>
  <c r="U31" i="7"/>
  <c r="U26" i="7"/>
  <c r="AB32" i="7"/>
  <c r="AB31" i="7"/>
  <c r="AB26" i="7"/>
  <c r="M39" i="7"/>
  <c r="M30" i="6"/>
  <c r="M40" i="7"/>
  <c r="M31" i="6"/>
  <c r="M25" i="6"/>
  <c r="M12" i="6"/>
  <c r="M8" i="6"/>
  <c r="AA22" i="6"/>
  <c r="AA17" i="6"/>
  <c r="AA32" i="7"/>
  <c r="AA31" i="7"/>
  <c r="AA26" i="7"/>
  <c r="Z25" i="7"/>
  <c r="Z23" i="7"/>
  <c r="Z35" i="6"/>
  <c r="Y6" i="10"/>
  <c r="AH12" i="7"/>
  <c r="AM47" i="7"/>
  <c r="AM36" i="6"/>
  <c r="AL7" i="10"/>
  <c r="AL8" i="10"/>
  <c r="AL9" i="10"/>
  <c r="AM40" i="7"/>
  <c r="AM31" i="6"/>
  <c r="AM39" i="7"/>
  <c r="AM30" i="6"/>
  <c r="AG47" i="7"/>
  <c r="AG36" i="6"/>
  <c r="AF7" i="10"/>
  <c r="AG39" i="7"/>
  <c r="AG40" i="7"/>
  <c r="AG31" i="6"/>
  <c r="V47" i="7"/>
  <c r="V36" i="6"/>
  <c r="U7" i="10"/>
  <c r="V40" i="7"/>
  <c r="V31" i="6"/>
  <c r="V39" i="7"/>
  <c r="W8" i="10"/>
  <c r="W9" i="10"/>
  <c r="T12" i="7"/>
  <c r="S40" i="7"/>
  <c r="S31" i="6"/>
  <c r="S47" i="7"/>
  <c r="S36" i="6"/>
  <c r="R7" i="10"/>
  <c r="R8" i="10"/>
  <c r="R9" i="10"/>
  <c r="S39" i="7"/>
  <c r="R25" i="7"/>
  <c r="R23" i="7"/>
  <c r="R35" i="6"/>
  <c r="Q6" i="10"/>
  <c r="Q8" i="10"/>
  <c r="Q9" i="10"/>
  <c r="N47" i="7"/>
  <c r="N36" i="6"/>
  <c r="M7" i="10"/>
  <c r="M8" i="10"/>
  <c r="M9" i="10"/>
  <c r="H8" i="7"/>
  <c r="H7" i="7"/>
  <c r="C10" i="7"/>
  <c r="AI32" i="7"/>
  <c r="AI22" i="6"/>
  <c r="AI17" i="6"/>
  <c r="D55" i="4"/>
  <c r="D47" i="4"/>
  <c r="C48" i="4"/>
  <c r="Z32" i="7"/>
  <c r="Z31" i="7"/>
  <c r="Z26" i="7"/>
  <c r="Z22" i="6"/>
  <c r="Z17" i="6"/>
  <c r="AB40" i="7"/>
  <c r="AB31" i="6"/>
  <c r="AB39" i="7"/>
  <c r="AB47" i="7"/>
  <c r="AB36" i="6"/>
  <c r="AA7" i="10"/>
  <c r="AA8" i="10"/>
  <c r="AA9" i="10"/>
  <c r="AG31" i="7"/>
  <c r="AG26" i="7"/>
  <c r="T40" i="7"/>
  <c r="T31" i="6"/>
  <c r="T39" i="7"/>
  <c r="T47" i="7"/>
  <c r="T36" i="6"/>
  <c r="S7" i="10"/>
  <c r="N40" i="7"/>
  <c r="N31" i="6"/>
  <c r="N39" i="7"/>
  <c r="N30" i="6"/>
  <c r="M12" i="7"/>
  <c r="K31" i="7"/>
  <c r="K26" i="7"/>
  <c r="X32" i="7"/>
  <c r="X31" i="7"/>
  <c r="X26" i="7"/>
  <c r="X22" i="6"/>
  <c r="X17" i="6"/>
  <c r="J25" i="7"/>
  <c r="J23" i="7"/>
  <c r="J35" i="6"/>
  <c r="I6" i="10"/>
  <c r="AL32" i="7"/>
  <c r="AL31" i="7"/>
  <c r="AL26" i="7"/>
  <c r="AL22" i="6"/>
  <c r="AL17" i="6"/>
  <c r="AH47" i="7"/>
  <c r="AH36" i="6"/>
  <c r="AG7" i="10"/>
  <c r="AH39" i="7"/>
  <c r="AH40" i="7"/>
  <c r="AH31" i="6"/>
  <c r="AC22" i="7"/>
  <c r="AD20" i="7"/>
  <c r="AG25" i="7"/>
  <c r="AG23" i="7"/>
  <c r="AG35" i="6"/>
  <c r="AF6" i="10"/>
  <c r="C30" i="4"/>
  <c r="C29" i="4"/>
  <c r="D29" i="4"/>
  <c r="C22" i="7"/>
  <c r="H20" i="7"/>
  <c r="N31" i="7"/>
  <c r="N26" i="7"/>
  <c r="AL12" i="7"/>
  <c r="Y32" i="7"/>
  <c r="Y31" i="7"/>
  <c r="Y26" i="7"/>
  <c r="Y22" i="6"/>
  <c r="Y17" i="6"/>
  <c r="L32" i="7"/>
  <c r="L31" i="7"/>
  <c r="L26" i="7"/>
  <c r="L22" i="6"/>
  <c r="L17" i="6"/>
  <c r="AK32" i="7"/>
  <c r="AK31" i="7"/>
  <c r="AK26" i="7"/>
  <c r="AK22" i="6"/>
  <c r="AK17" i="6"/>
  <c r="Y12" i="7"/>
  <c r="L12" i="7"/>
  <c r="AC9" i="6"/>
  <c r="AM8" i="10"/>
  <c r="AM9" i="10"/>
  <c r="U25" i="7"/>
  <c r="U23" i="7"/>
  <c r="U35" i="6"/>
  <c r="T6" i="10"/>
  <c r="T8" i="10"/>
  <c r="T9" i="10"/>
  <c r="AL25" i="7"/>
  <c r="AL23" i="7"/>
  <c r="AL35" i="6"/>
  <c r="AK6" i="10"/>
  <c r="AL47" i="7"/>
  <c r="AL36" i="6"/>
  <c r="AK7" i="10"/>
  <c r="AK8" i="10"/>
  <c r="AK9" i="10"/>
  <c r="V25" i="7"/>
  <c r="V23" i="7"/>
  <c r="V35" i="6"/>
  <c r="U6" i="10"/>
  <c r="U8" i="10"/>
  <c r="U9" i="10"/>
  <c r="Y47" i="7"/>
  <c r="Y36" i="6"/>
  <c r="X7" i="10"/>
  <c r="Y39" i="7"/>
  <c r="Y40" i="7"/>
  <c r="Y31" i="6"/>
  <c r="X43" i="7"/>
  <c r="W34" i="6"/>
  <c r="L40" i="7"/>
  <c r="L31" i="6"/>
  <c r="L39" i="7"/>
  <c r="L47" i="7"/>
  <c r="L36" i="6"/>
  <c r="K7" i="10"/>
  <c r="AK47" i="7"/>
  <c r="AK36" i="6"/>
  <c r="AJ7" i="10"/>
  <c r="AK39" i="7"/>
  <c r="AK30" i="6"/>
  <c r="AK40" i="7"/>
  <c r="AK31" i="6"/>
  <c r="N12" i="7"/>
  <c r="Y25" i="7"/>
  <c r="Y23" i="7"/>
  <c r="Y35" i="6"/>
  <c r="X6" i="10"/>
  <c r="X8" i="10"/>
  <c r="X9" i="10"/>
  <c r="P9" i="6"/>
  <c r="Q8" i="7"/>
  <c r="P10" i="7"/>
  <c r="L25" i="7"/>
  <c r="L23" i="7"/>
  <c r="L35" i="6"/>
  <c r="K6" i="10"/>
  <c r="K8" i="10"/>
  <c r="K9" i="10"/>
  <c r="K40" i="7"/>
  <c r="K31" i="6"/>
  <c r="K39" i="7"/>
  <c r="K47" i="7"/>
  <c r="K36" i="6"/>
  <c r="J7" i="10"/>
  <c r="J8" i="10"/>
  <c r="J9" i="10"/>
  <c r="Q25" i="7"/>
  <c r="AC10" i="7"/>
  <c r="AD8" i="7"/>
  <c r="X42" i="7"/>
  <c r="W33" i="6"/>
  <c r="AL40" i="7"/>
  <c r="AL31" i="6"/>
  <c r="AL39" i="7"/>
  <c r="AL30" i="6"/>
  <c r="H32" i="7"/>
  <c r="H22" i="6"/>
  <c r="C23" i="6"/>
  <c r="AI12" i="7"/>
  <c r="AH32" i="7"/>
  <c r="AH31" i="7"/>
  <c r="AH26" i="7"/>
  <c r="AH22" i="6"/>
  <c r="AH17" i="6"/>
  <c r="AE47" i="7"/>
  <c r="AE36" i="6"/>
  <c r="AD7" i="10"/>
  <c r="AD8" i="10"/>
  <c r="AD9" i="10"/>
  <c r="AE40" i="7"/>
  <c r="AE31" i="6"/>
  <c r="AE39" i="7"/>
  <c r="AJ40" i="7"/>
  <c r="AJ31" i="6"/>
  <c r="AJ39" i="7"/>
  <c r="AJ30" i="6"/>
  <c r="AJ47" i="7"/>
  <c r="AJ36" i="6"/>
  <c r="AI7" i="10"/>
  <c r="AI8" i="10"/>
  <c r="AI9" i="10"/>
  <c r="AE12" i="7"/>
  <c r="AD25" i="7"/>
  <c r="AN12" i="7"/>
  <c r="I32" i="7"/>
  <c r="I31" i="7"/>
  <c r="I26" i="7"/>
  <c r="I22" i="6"/>
  <c r="I17" i="6"/>
  <c r="AB12" i="7"/>
  <c r="AK25" i="7"/>
  <c r="AK23" i="7"/>
  <c r="AK35" i="6"/>
  <c r="AJ6" i="10"/>
  <c r="AO39" i="7"/>
  <c r="AO30" i="6"/>
  <c r="AO40" i="7"/>
  <c r="AO31" i="6"/>
  <c r="AI31" i="7"/>
  <c r="AI26" i="7"/>
  <c r="O47" i="7"/>
  <c r="O36" i="6"/>
  <c r="N7" i="10"/>
  <c r="N8" i="10"/>
  <c r="N9" i="10"/>
  <c r="O40" i="7"/>
  <c r="O31" i="6"/>
  <c r="O39" i="7"/>
  <c r="O30" i="6"/>
  <c r="AF47" i="7"/>
  <c r="AF36" i="6"/>
  <c r="AE7" i="10"/>
  <c r="AE8" i="10"/>
  <c r="AE9" i="10"/>
  <c r="AF40" i="7"/>
  <c r="AF31" i="6"/>
  <c r="AF39" i="7"/>
  <c r="U22" i="6"/>
  <c r="U17" i="6"/>
  <c r="AB22" i="6"/>
  <c r="AB17" i="6"/>
  <c r="C13" i="7"/>
  <c r="W31" i="7"/>
  <c r="W26" i="7"/>
  <c r="AF12" i="7"/>
  <c r="AA40" i="7"/>
  <c r="AA31" i="6"/>
  <c r="AA39" i="7"/>
  <c r="AA47" i="7"/>
  <c r="AA36" i="6"/>
  <c r="Z7" i="10"/>
  <c r="Z8" i="10"/>
  <c r="Z9" i="10"/>
  <c r="AH25" i="7"/>
  <c r="AH23" i="7"/>
  <c r="AH35" i="6"/>
  <c r="AG6" i="10"/>
  <c r="AN31" i="7"/>
  <c r="AN26" i="7"/>
  <c r="X12" i="7"/>
  <c r="J47" i="7"/>
  <c r="J36" i="6"/>
  <c r="I7" i="10"/>
  <c r="J39" i="7"/>
  <c r="J40" i="7"/>
  <c r="J31" i="6"/>
  <c r="T25" i="7"/>
  <c r="T23" i="7"/>
  <c r="T35" i="6"/>
  <c r="S6" i="10"/>
  <c r="T32" i="7"/>
  <c r="T31" i="7"/>
  <c r="T26" i="7"/>
  <c r="T22" i="6"/>
  <c r="T17" i="6"/>
  <c r="O12" i="7"/>
  <c r="W12" i="7"/>
  <c r="J34" i="7"/>
  <c r="J11" i="7"/>
  <c r="J46" i="7"/>
  <c r="J48" i="7"/>
  <c r="J44" i="6"/>
  <c r="J41" i="6"/>
  <c r="J37" i="6"/>
  <c r="J30" i="6"/>
  <c r="J25" i="6"/>
  <c r="J12" i="6"/>
  <c r="J8" i="6"/>
  <c r="J52" i="6"/>
  <c r="Q7" i="7"/>
  <c r="P8" i="7"/>
  <c r="L30" i="6"/>
  <c r="L25" i="6"/>
  <c r="L12" i="6"/>
  <c r="L8" i="6"/>
  <c r="L34" i="7"/>
  <c r="H16" i="7"/>
  <c r="C20" i="7"/>
  <c r="AH30" i="6"/>
  <c r="R30" i="6"/>
  <c r="R25" i="6"/>
  <c r="R12" i="6"/>
  <c r="R8" i="6"/>
  <c r="R34" i="7"/>
  <c r="AL41" i="7"/>
  <c r="AK32" i="6"/>
  <c r="AC22" i="6"/>
  <c r="AD17" i="6"/>
  <c r="AC17" i="6"/>
  <c r="L11" i="7"/>
  <c r="L46" i="7"/>
  <c r="L48" i="7"/>
  <c r="L44" i="6"/>
  <c r="L41" i="6"/>
  <c r="L37" i="6"/>
  <c r="L52" i="6"/>
  <c r="S34" i="7"/>
  <c r="S11" i="7"/>
  <c r="S46" i="7"/>
  <c r="S48" i="7"/>
  <c r="S44" i="6"/>
  <c r="S41" i="6"/>
  <c r="S37" i="6"/>
  <c r="S30" i="6"/>
  <c r="S25" i="6"/>
  <c r="S12" i="6"/>
  <c r="S8" i="6"/>
  <c r="S52" i="6"/>
  <c r="V30" i="6"/>
  <c r="V25" i="6"/>
  <c r="V12" i="6"/>
  <c r="V8" i="6"/>
  <c r="V34" i="7"/>
  <c r="V11" i="7"/>
  <c r="V46" i="7"/>
  <c r="V48" i="7"/>
  <c r="V44" i="6"/>
  <c r="V41" i="6"/>
  <c r="V37" i="6"/>
  <c r="V52" i="6"/>
  <c r="H31" i="7"/>
  <c r="C33" i="7"/>
  <c r="X34" i="7"/>
  <c r="X30" i="6"/>
  <c r="P22" i="6"/>
  <c r="Q17" i="6"/>
  <c r="P17" i="6"/>
  <c r="N25" i="6"/>
  <c r="N12" i="6"/>
  <c r="N8" i="6"/>
  <c r="H35" i="6"/>
  <c r="C23" i="7"/>
  <c r="AC25" i="7"/>
  <c r="AD23" i="7"/>
  <c r="AD16" i="7"/>
  <c r="AC20" i="7"/>
  <c r="D46" i="4"/>
  <c r="C47" i="4"/>
  <c r="C46" i="4"/>
  <c r="AC33" i="7"/>
  <c r="AD31" i="7"/>
  <c r="N34" i="7"/>
  <c r="N11" i="7"/>
  <c r="N46" i="7"/>
  <c r="N48" i="7"/>
  <c r="N44" i="6"/>
  <c r="N41" i="6"/>
  <c r="N37" i="6"/>
  <c r="N52" i="6"/>
  <c r="S8" i="10"/>
  <c r="S9" i="10"/>
  <c r="AA30" i="6"/>
  <c r="P25" i="7"/>
  <c r="Q23" i="7"/>
  <c r="M34" i="7"/>
  <c r="M11" i="7"/>
  <c r="M46" i="7"/>
  <c r="M48" i="7"/>
  <c r="M44" i="6"/>
  <c r="M41" i="6"/>
  <c r="M37" i="6"/>
  <c r="M52" i="6"/>
  <c r="D54" i="4"/>
  <c r="D10" i="6"/>
  <c r="C55" i="4"/>
  <c r="AL38" i="7"/>
  <c r="AK29" i="6"/>
  <c r="U30" i="6"/>
  <c r="U25" i="6"/>
  <c r="U12" i="6"/>
  <c r="U8" i="6"/>
  <c r="U34" i="7"/>
  <c r="U11" i="7"/>
  <c r="U46" i="7"/>
  <c r="U48" i="7"/>
  <c r="U44" i="6"/>
  <c r="U41" i="6"/>
  <c r="U37" i="6"/>
  <c r="U52" i="6"/>
  <c r="X11" i="7"/>
  <c r="X46" i="7"/>
  <c r="X48" i="7"/>
  <c r="X44" i="6"/>
  <c r="X41" i="6"/>
  <c r="X37" i="6"/>
  <c r="AC8" i="7"/>
  <c r="AD7" i="7"/>
  <c r="AF8" i="10"/>
  <c r="AF9" i="10"/>
  <c r="AG30" i="6"/>
  <c r="I30" i="6"/>
  <c r="I25" i="6"/>
  <c r="I12" i="6"/>
  <c r="I8" i="6"/>
  <c r="I34" i="7"/>
  <c r="I11" i="7"/>
  <c r="I46" i="7"/>
  <c r="I48" i="7"/>
  <c r="I44" i="6"/>
  <c r="I41" i="6"/>
  <c r="I37" i="6"/>
  <c r="I52" i="6"/>
  <c r="Q16" i="7"/>
  <c r="P20" i="7"/>
  <c r="AC32" i="7"/>
  <c r="O36" i="7"/>
  <c r="O26" i="6"/>
  <c r="C25" i="7"/>
  <c r="AI30" i="6"/>
  <c r="AF30" i="6"/>
  <c r="Y42" i="7"/>
  <c r="X33" i="6"/>
  <c r="Y30" i="6"/>
  <c r="I8" i="10"/>
  <c r="I9" i="10"/>
  <c r="H8" i="10"/>
  <c r="H9" i="10"/>
  <c r="Q31" i="7"/>
  <c r="P33" i="7"/>
  <c r="AE30" i="6"/>
  <c r="C22" i="6"/>
  <c r="H17" i="6"/>
  <c r="C17" i="6"/>
  <c r="T34" i="7"/>
  <c r="T11" i="7"/>
  <c r="T46" i="7"/>
  <c r="T48" i="7"/>
  <c r="T44" i="6"/>
  <c r="T41" i="6"/>
  <c r="T37" i="6"/>
  <c r="T30" i="6"/>
  <c r="T25" i="6"/>
  <c r="T12" i="6"/>
  <c r="T8" i="6"/>
  <c r="T52" i="6"/>
  <c r="AB30" i="6"/>
  <c r="AG8" i="10"/>
  <c r="AG9" i="10"/>
  <c r="AJ8" i="10"/>
  <c r="AJ9" i="10"/>
  <c r="C32" i="7"/>
  <c r="K30" i="6"/>
  <c r="K25" i="6"/>
  <c r="K12" i="6"/>
  <c r="K8" i="6"/>
  <c r="K34" i="7"/>
  <c r="K11" i="7"/>
  <c r="K46" i="7"/>
  <c r="K48" i="7"/>
  <c r="K44" i="6"/>
  <c r="K41" i="6"/>
  <c r="K37" i="6"/>
  <c r="K52" i="6"/>
  <c r="Y43" i="7"/>
  <c r="X34" i="6"/>
  <c r="H47" i="7"/>
  <c r="H36" i="6"/>
  <c r="G7" i="10"/>
  <c r="H40" i="7"/>
  <c r="H39" i="7"/>
  <c r="Y8" i="10"/>
  <c r="Y9" i="10"/>
  <c r="Z30" i="6"/>
  <c r="C38" i="4"/>
  <c r="C37" i="4"/>
  <c r="D37" i="4"/>
  <c r="P32" i="7"/>
  <c r="R11" i="7"/>
  <c r="R46" i="7"/>
  <c r="R48" i="7"/>
  <c r="R44" i="6"/>
  <c r="R41" i="6"/>
  <c r="R37" i="6"/>
  <c r="W34" i="7"/>
  <c r="W11" i="7"/>
  <c r="W46" i="7"/>
  <c r="W48" i="7"/>
  <c r="W44" i="6"/>
  <c r="W41" i="6"/>
  <c r="W37" i="6"/>
  <c r="W30" i="6"/>
  <c r="W25" i="6"/>
  <c r="W12" i="6"/>
  <c r="W8" i="6"/>
  <c r="W52" i="6"/>
  <c r="O27" i="6"/>
  <c r="C27" i="6"/>
  <c r="C36" i="7"/>
  <c r="AC31" i="7"/>
  <c r="AD26" i="7"/>
  <c r="AC26" i="7"/>
  <c r="AC16" i="7"/>
  <c r="AD12" i="7"/>
  <c r="G6" i="10"/>
  <c r="C35" i="6"/>
  <c r="X25" i="6"/>
  <c r="X12" i="6"/>
  <c r="X8" i="6"/>
  <c r="Q47" i="7"/>
  <c r="Q39" i="7"/>
  <c r="Q40" i="7"/>
  <c r="P7" i="7"/>
  <c r="AM38" i="7"/>
  <c r="AL29" i="6"/>
  <c r="D53" i="4"/>
  <c r="C54" i="4"/>
  <c r="C53" i="4"/>
  <c r="AM41" i="7"/>
  <c r="AL32" i="6"/>
  <c r="X52" i="6"/>
  <c r="C31" i="7"/>
  <c r="H26" i="7"/>
  <c r="H12" i="7"/>
  <c r="C16" i="7"/>
  <c r="R52" i="6"/>
  <c r="Z42" i="7"/>
  <c r="Y33" i="6"/>
  <c r="AD47" i="7"/>
  <c r="AD40" i="7"/>
  <c r="AC7" i="7"/>
  <c r="AD39" i="7"/>
  <c r="D9" i="7"/>
  <c r="D20" i="6"/>
  <c r="D21" i="6"/>
  <c r="C10" i="6"/>
  <c r="D9" i="6"/>
  <c r="P23" i="7"/>
  <c r="Q35" i="6"/>
  <c r="H30" i="6"/>
  <c r="H34" i="7"/>
  <c r="O34" i="7"/>
  <c r="C34" i="7"/>
  <c r="C39" i="7"/>
  <c r="Y34" i="7"/>
  <c r="Y11" i="7"/>
  <c r="Y46" i="7"/>
  <c r="Y48" i="7"/>
  <c r="Y44" i="6"/>
  <c r="Y41" i="6"/>
  <c r="Y37" i="6"/>
  <c r="O25" i="6"/>
  <c r="O12" i="6"/>
  <c r="O8" i="6"/>
  <c r="C26" i="6"/>
  <c r="H31" i="6"/>
  <c r="C31" i="6"/>
  <c r="C40" i="7"/>
  <c r="Z43" i="7"/>
  <c r="Y34" i="6"/>
  <c r="P31" i="7"/>
  <c r="Q26" i="7"/>
  <c r="P26" i="7"/>
  <c r="Y25" i="6"/>
  <c r="Y12" i="6"/>
  <c r="Y8" i="6"/>
  <c r="O11" i="7"/>
  <c r="O46" i="7"/>
  <c r="O48" i="7"/>
  <c r="O44" i="6"/>
  <c r="O41" i="6"/>
  <c r="O37" i="6"/>
  <c r="P16" i="7"/>
  <c r="Q12" i="7"/>
  <c r="AC23" i="7"/>
  <c r="AD35" i="6"/>
  <c r="P12" i="7"/>
  <c r="C9" i="7"/>
  <c r="D8" i="7"/>
  <c r="AN38" i="7"/>
  <c r="AM29" i="6"/>
  <c r="G8" i="10"/>
  <c r="G9" i="10"/>
  <c r="B6" i="10"/>
  <c r="Y52" i="6"/>
  <c r="AC47" i="7"/>
  <c r="AD36" i="6"/>
  <c r="AC6" i="10"/>
  <c r="AC35" i="6"/>
  <c r="O52" i="6"/>
  <c r="P6" i="10"/>
  <c r="P35" i="6"/>
  <c r="D30" i="7"/>
  <c r="C30" i="7"/>
  <c r="C21" i="6"/>
  <c r="P40" i="7"/>
  <c r="Q31" i="6"/>
  <c r="P31" i="6"/>
  <c r="AA43" i="7"/>
  <c r="Z34" i="6"/>
  <c r="C9" i="6"/>
  <c r="B7" i="8"/>
  <c r="H25" i="6"/>
  <c r="H12" i="6"/>
  <c r="H8" i="6"/>
  <c r="C30" i="6"/>
  <c r="AC39" i="7"/>
  <c r="AD30" i="6"/>
  <c r="P47" i="7"/>
  <c r="Q36" i="6"/>
  <c r="AC12" i="7"/>
  <c r="D29" i="7"/>
  <c r="C20" i="6"/>
  <c r="AC40" i="7"/>
  <c r="AD31" i="6"/>
  <c r="AC31" i="6"/>
  <c r="AA42" i="7"/>
  <c r="Z33" i="6"/>
  <c r="Z25" i="6"/>
  <c r="Z12" i="6"/>
  <c r="Z8" i="6"/>
  <c r="Z34" i="7"/>
  <c r="Z11" i="7"/>
  <c r="Z46" i="7"/>
  <c r="Z48" i="7"/>
  <c r="Z44" i="6"/>
  <c r="Z41" i="6"/>
  <c r="Z37" i="6"/>
  <c r="Z52" i="6"/>
  <c r="H11" i="7"/>
  <c r="H46" i="7"/>
  <c r="H48" i="7"/>
  <c r="H44" i="6"/>
  <c r="H41" i="6"/>
  <c r="H37" i="6"/>
  <c r="H52" i="6"/>
  <c r="H3" i="7"/>
  <c r="C12" i="7"/>
  <c r="AN41" i="7"/>
  <c r="AM32" i="6"/>
  <c r="P39" i="7"/>
  <c r="Q30" i="6"/>
  <c r="Q34" i="7"/>
  <c r="AB6" i="10"/>
  <c r="AO38" i="7"/>
  <c r="AN29" i="6"/>
  <c r="B28" i="7"/>
  <c r="P30" i="6"/>
  <c r="Q25" i="6"/>
  <c r="AO41" i="7"/>
  <c r="AN32" i="6"/>
  <c r="B30" i="7"/>
  <c r="Q11" i="7"/>
  <c r="AB42" i="7"/>
  <c r="AA33" i="6"/>
  <c r="AA34" i="7"/>
  <c r="AA11" i="7"/>
  <c r="AA46" i="7"/>
  <c r="AA48" i="7"/>
  <c r="AA44" i="6"/>
  <c r="AA41" i="6"/>
  <c r="AA37" i="6"/>
  <c r="D27" i="7"/>
  <c r="C29" i="7"/>
  <c r="B29" i="7"/>
  <c r="P7" i="10"/>
  <c r="O7" i="10"/>
  <c r="P36" i="6"/>
  <c r="AC30" i="6"/>
  <c r="AB43" i="7"/>
  <c r="AA34" i="6"/>
  <c r="P8" i="10"/>
  <c r="O6" i="10"/>
  <c r="AC7" i="10"/>
  <c r="AB7" i="10"/>
  <c r="AC36" i="6"/>
  <c r="D7" i="7"/>
  <c r="C8" i="7"/>
  <c r="D26" i="7"/>
  <c r="C27" i="7"/>
  <c r="B27" i="7"/>
  <c r="Q12" i="6"/>
  <c r="AO29" i="6"/>
  <c r="AC38" i="7"/>
  <c r="AB34" i="7"/>
  <c r="P34" i="7"/>
  <c r="AD43" i="7"/>
  <c r="AB34" i="6"/>
  <c r="P34" i="6"/>
  <c r="P43" i="7"/>
  <c r="AA25" i="6"/>
  <c r="AA12" i="6"/>
  <c r="AA8" i="6"/>
  <c r="AA52" i="6"/>
  <c r="AC8" i="10"/>
  <c r="D47" i="7"/>
  <c r="C7" i="7"/>
  <c r="P9" i="10"/>
  <c r="O8" i="10"/>
  <c r="O9" i="10"/>
  <c r="Q46" i="7"/>
  <c r="B17" i="7"/>
  <c r="B13" i="7"/>
  <c r="B10" i="7"/>
  <c r="B33" i="7"/>
  <c r="B23" i="7"/>
  <c r="B32" i="7"/>
  <c r="B20" i="7"/>
  <c r="B16" i="7"/>
  <c r="B31" i="7"/>
  <c r="AD42" i="7"/>
  <c r="AB33" i="6"/>
  <c r="P42" i="7"/>
  <c r="AB11" i="7"/>
  <c r="AB46" i="7"/>
  <c r="AB48" i="7"/>
  <c r="AB44" i="6"/>
  <c r="AB41" i="6"/>
  <c r="AB37" i="6"/>
  <c r="AO32" i="6"/>
  <c r="AC32" i="6"/>
  <c r="AC41" i="7"/>
  <c r="B9" i="7"/>
  <c r="B12" i="7"/>
  <c r="AC9" i="10"/>
  <c r="AB8" i="10"/>
  <c r="AB9" i="10"/>
  <c r="Q8" i="6"/>
  <c r="Q48" i="7"/>
  <c r="P46" i="7"/>
  <c r="AE43" i="7"/>
  <c r="AD34" i="6"/>
  <c r="AE42" i="7"/>
  <c r="AD33" i="6"/>
  <c r="AD34" i="7"/>
  <c r="B43" i="7"/>
  <c r="B41" i="7"/>
  <c r="B42" i="7"/>
  <c r="B44" i="7"/>
  <c r="B37" i="7"/>
  <c r="B38" i="7"/>
  <c r="B45" i="7"/>
  <c r="B35" i="7"/>
  <c r="B34" i="7"/>
  <c r="B40" i="7"/>
  <c r="B36" i="7"/>
  <c r="B39" i="7"/>
  <c r="P33" i="6"/>
  <c r="AB25" i="6"/>
  <c r="B8" i="7"/>
  <c r="P11" i="7"/>
  <c r="C47" i="7"/>
  <c r="B47" i="7"/>
  <c r="D36" i="6"/>
  <c r="AC29" i="6"/>
  <c r="C26" i="7"/>
  <c r="B26" i="7"/>
  <c r="D11" i="7"/>
  <c r="B8" i="8"/>
  <c r="B10" i="8"/>
  <c r="AF42" i="7"/>
  <c r="AE33" i="6"/>
  <c r="AE34" i="6"/>
  <c r="AE25" i="6"/>
  <c r="AE12" i="6"/>
  <c r="AE8" i="6"/>
  <c r="AE34" i="7"/>
  <c r="AE11" i="7"/>
  <c r="AE46" i="7"/>
  <c r="AE48" i="7"/>
  <c r="AE44" i="6"/>
  <c r="AE41" i="6"/>
  <c r="AE37" i="6"/>
  <c r="AE52" i="6"/>
  <c r="AF43" i="7"/>
  <c r="AD11" i="7"/>
  <c r="P48" i="7"/>
  <c r="B15" i="9"/>
  <c r="Q44" i="6"/>
  <c r="C11" i="7"/>
  <c r="B11" i="7"/>
  <c r="D46" i="7"/>
  <c r="C7" i="10"/>
  <c r="D25" i="6"/>
  <c r="C36" i="6"/>
  <c r="AB12" i="6"/>
  <c r="P25" i="6"/>
  <c r="AD25" i="6"/>
  <c r="AD12" i="6"/>
  <c r="AD46" i="7"/>
  <c r="P44" i="6"/>
  <c r="Q41" i="6"/>
  <c r="B7" i="10"/>
  <c r="C8" i="10"/>
  <c r="AG42" i="7"/>
  <c r="AF33" i="6"/>
  <c r="AF34" i="7"/>
  <c r="AF11" i="7"/>
  <c r="AF46" i="7"/>
  <c r="AF48" i="7"/>
  <c r="AF44" i="6"/>
  <c r="AF41" i="6"/>
  <c r="AF37" i="6"/>
  <c r="C25" i="6"/>
  <c r="D12" i="6"/>
  <c r="AB8" i="6"/>
  <c r="AB52" i="6"/>
  <c r="P12" i="6"/>
  <c r="P8" i="6"/>
  <c r="D48" i="7"/>
  <c r="C46" i="7"/>
  <c r="B46" i="7"/>
  <c r="AG43" i="7"/>
  <c r="AF34" i="6"/>
  <c r="C12" i="6"/>
  <c r="D8" i="6"/>
  <c r="C8" i="6"/>
  <c r="P41" i="6"/>
  <c r="Q37" i="6"/>
  <c r="AF25" i="6"/>
  <c r="AD48" i="7"/>
  <c r="C48" i="7"/>
  <c r="D44" i="6"/>
  <c r="AH42" i="7"/>
  <c r="AG33" i="6"/>
  <c r="AG34" i="7"/>
  <c r="C9" i="10"/>
  <c r="B8" i="10"/>
  <c r="B9" i="10"/>
  <c r="AH43" i="7"/>
  <c r="AG34" i="6"/>
  <c r="AG25" i="6"/>
  <c r="AG12" i="6"/>
  <c r="AG8" i="6"/>
  <c r="AD8" i="6"/>
  <c r="AD44" i="6"/>
  <c r="AI43" i="7"/>
  <c r="AH34" i="6"/>
  <c r="C44" i="6"/>
  <c r="D41" i="6"/>
  <c r="AI42" i="7"/>
  <c r="AH33" i="6"/>
  <c r="AH34" i="7"/>
  <c r="AH11" i="7"/>
  <c r="AH46" i="7"/>
  <c r="AH48" i="7"/>
  <c r="AH44" i="6"/>
  <c r="AH41" i="6"/>
  <c r="AH37" i="6"/>
  <c r="Q52" i="6"/>
  <c r="P37" i="6"/>
  <c r="P52" i="6"/>
  <c r="AG11" i="7"/>
  <c r="B48" i="7"/>
  <c r="B14" i="9"/>
  <c r="B9" i="8"/>
  <c r="B11" i="8"/>
  <c r="AF12" i="6"/>
  <c r="AF8" i="6"/>
  <c r="C41" i="6"/>
  <c r="D37" i="6"/>
  <c r="AD41" i="6"/>
  <c r="AG46" i="7"/>
  <c r="AH25" i="6"/>
  <c r="B8" i="9"/>
  <c r="B9" i="9"/>
  <c r="B7" i="9"/>
  <c r="AJ42" i="7"/>
  <c r="AI33" i="6"/>
  <c r="AI34" i="7"/>
  <c r="AJ43" i="7"/>
  <c r="AI34" i="6"/>
  <c r="AI11" i="7"/>
  <c r="C37" i="6"/>
  <c r="C52" i="6"/>
  <c r="C53" i="6"/>
  <c r="P7" i="6"/>
  <c r="P53" i="6"/>
  <c r="D52" i="6"/>
  <c r="D53" i="6"/>
  <c r="E7" i="6"/>
  <c r="AI25" i="6"/>
  <c r="AI12" i="6"/>
  <c r="AI8" i="6"/>
  <c r="AG48" i="7"/>
  <c r="AK43" i="7"/>
  <c r="AJ34" i="6"/>
  <c r="AK42" i="7"/>
  <c r="AJ33" i="6"/>
  <c r="AJ25" i="6"/>
  <c r="AJ12" i="6"/>
  <c r="AJ8" i="6"/>
  <c r="AJ34" i="7"/>
  <c r="AJ11" i="7"/>
  <c r="AJ46" i="7"/>
  <c r="AJ48" i="7"/>
  <c r="AJ44" i="6"/>
  <c r="AJ41" i="6"/>
  <c r="AJ37" i="6"/>
  <c r="AJ52" i="6"/>
  <c r="AH12" i="6"/>
  <c r="AD37" i="6"/>
  <c r="AF52" i="6"/>
  <c r="AD52" i="6"/>
  <c r="AD53" i="6"/>
  <c r="AL43" i="7"/>
  <c r="AK34" i="6"/>
  <c r="AL42" i="7"/>
  <c r="AK33" i="6"/>
  <c r="AK25" i="6"/>
  <c r="AK12" i="6"/>
  <c r="AK8" i="6"/>
  <c r="AK34" i="7"/>
  <c r="AK11" i="7"/>
  <c r="AK46" i="7"/>
  <c r="AK48" i="7"/>
  <c r="AK44" i="6"/>
  <c r="AK41" i="6"/>
  <c r="AK37" i="6"/>
  <c r="AK52" i="6"/>
  <c r="E53" i="6"/>
  <c r="E4" i="4"/>
  <c r="AG44" i="6"/>
  <c r="AH8" i="6"/>
  <c r="AI46" i="7"/>
  <c r="AG41" i="6"/>
  <c r="AM42" i="7"/>
  <c r="AL33" i="6"/>
  <c r="AL34" i="6"/>
  <c r="AL25" i="6"/>
  <c r="AL34" i="7"/>
  <c r="AL11" i="7"/>
  <c r="AL46" i="7"/>
  <c r="AL48" i="7"/>
  <c r="AL44" i="6"/>
  <c r="AL41" i="6"/>
  <c r="AL37" i="6"/>
  <c r="AI48" i="7"/>
  <c r="AM43" i="7"/>
  <c r="AE7" i="6"/>
  <c r="AD8" i="4"/>
  <c r="AH52" i="6"/>
  <c r="F7" i="6"/>
  <c r="E8" i="4"/>
  <c r="AL12" i="6"/>
  <c r="AE4" i="4"/>
  <c r="AE53" i="6"/>
  <c r="AN42" i="7"/>
  <c r="AM33" i="6"/>
  <c r="AM34" i="7"/>
  <c r="AM11" i="7"/>
  <c r="AM46" i="7"/>
  <c r="AI44" i="6"/>
  <c r="F53" i="6"/>
  <c r="F4" i="4"/>
  <c r="AN43" i="7"/>
  <c r="AM34" i="6"/>
  <c r="AG37" i="6"/>
  <c r="AM48" i="7"/>
  <c r="G7" i="6"/>
  <c r="F8" i="4"/>
  <c r="AG52" i="6"/>
  <c r="AI41" i="6"/>
  <c r="AF7" i="6"/>
  <c r="AE8" i="4"/>
  <c r="AM25" i="6"/>
  <c r="AM12" i="6"/>
  <c r="AM8" i="6"/>
  <c r="AO43" i="7"/>
  <c r="AN34" i="6"/>
  <c r="AO42" i="7"/>
  <c r="AN33" i="6"/>
  <c r="AN25" i="6"/>
  <c r="AN12" i="6"/>
  <c r="AN8" i="6"/>
  <c r="AN34" i="7"/>
  <c r="AN11" i="7"/>
  <c r="AN46" i="7"/>
  <c r="AN48" i="7"/>
  <c r="AN44" i="6"/>
  <c r="AN41" i="6"/>
  <c r="AN37" i="6"/>
  <c r="AL8" i="6"/>
  <c r="G53" i="6"/>
  <c r="G4" i="4"/>
  <c r="AO33" i="6"/>
  <c r="AO34" i="7"/>
  <c r="AC42" i="7"/>
  <c r="AI37" i="6"/>
  <c r="AL52" i="6"/>
  <c r="AN52" i="6"/>
  <c r="AO34" i="6"/>
  <c r="AC34" i="6"/>
  <c r="AC43" i="7"/>
  <c r="AF4" i="4"/>
  <c r="AF53" i="6"/>
  <c r="AM44" i="6"/>
  <c r="AI52" i="6"/>
  <c r="AO25" i="6"/>
  <c r="AC33" i="6"/>
  <c r="AG7" i="6"/>
  <c r="AF8" i="4"/>
  <c r="AM41" i="6"/>
  <c r="AO11" i="7"/>
  <c r="AC34" i="7"/>
  <c r="G8" i="4"/>
  <c r="H7" i="6"/>
  <c r="AO12" i="6"/>
  <c r="AC25" i="6"/>
  <c r="AO46" i="7"/>
  <c r="AC11" i="7"/>
  <c r="H53" i="6"/>
  <c r="H4" i="4"/>
  <c r="AG4" i="4"/>
  <c r="AG53" i="6"/>
  <c r="AM37" i="6"/>
  <c r="AG8" i="4"/>
  <c r="AH7" i="6"/>
  <c r="AO48" i="7"/>
  <c r="AC46" i="7"/>
  <c r="AM52" i="6"/>
  <c r="I7" i="6"/>
  <c r="H8" i="4"/>
  <c r="AO8" i="6"/>
  <c r="AC8" i="6"/>
  <c r="AC12" i="6"/>
  <c r="I53" i="6"/>
  <c r="I4" i="4"/>
  <c r="AO44" i="6"/>
  <c r="AC48" i="7"/>
  <c r="AH4" i="4"/>
  <c r="AH53" i="6"/>
  <c r="AO41" i="6"/>
  <c r="AC44" i="6"/>
  <c r="AI7" i="6"/>
  <c r="AH8" i="4"/>
  <c r="J7" i="6"/>
  <c r="I8" i="4"/>
  <c r="AI4" i="4"/>
  <c r="AI53" i="6"/>
  <c r="J53" i="6"/>
  <c r="J4" i="4"/>
  <c r="AO37" i="6"/>
  <c r="AC41" i="6"/>
  <c r="K7" i="6"/>
  <c r="J8" i="4"/>
  <c r="AJ7" i="6"/>
  <c r="AI8" i="4"/>
  <c r="AO52" i="6"/>
  <c r="AC37" i="6"/>
  <c r="AC52" i="6"/>
  <c r="AJ4" i="4"/>
  <c r="AJ53" i="6"/>
  <c r="K53" i="6"/>
  <c r="K4" i="4"/>
  <c r="L7" i="6"/>
  <c r="K8" i="4"/>
  <c r="AK7" i="6"/>
  <c r="AJ8" i="4"/>
  <c r="AK4" i="4"/>
  <c r="AK53" i="6"/>
  <c r="L53" i="6"/>
  <c r="L4" i="4"/>
  <c r="M7" i="6"/>
  <c r="L8" i="4"/>
  <c r="AL7" i="6"/>
  <c r="AK8" i="4"/>
  <c r="AL4" i="4"/>
  <c r="AL53" i="6"/>
  <c r="M53" i="6"/>
  <c r="M4" i="4"/>
  <c r="N7" i="6"/>
  <c r="M8" i="4"/>
  <c r="AM7" i="6"/>
  <c r="AL8" i="4"/>
  <c r="AM4" i="4"/>
  <c r="AM53" i="6"/>
  <c r="N4" i="4"/>
  <c r="N53" i="6"/>
  <c r="O7" i="6"/>
  <c r="N8" i="4"/>
  <c r="AN7" i="6"/>
  <c r="AM8" i="4"/>
  <c r="AN4" i="4"/>
  <c r="AN53" i="6"/>
  <c r="O53" i="6"/>
  <c r="O4" i="4"/>
  <c r="C4" i="4"/>
  <c r="Q7" i="6"/>
  <c r="O8" i="4"/>
  <c r="AN8" i="4"/>
  <c r="AO7" i="6"/>
  <c r="AO4" i="4"/>
  <c r="AO53" i="6"/>
  <c r="AO8" i="4"/>
  <c r="Q53" i="6"/>
  <c r="Q4" i="4"/>
  <c r="Q8" i="4"/>
  <c r="R7" i="6"/>
  <c r="R53" i="6"/>
  <c r="R4" i="4"/>
  <c r="S7" i="6"/>
  <c r="R8" i="4"/>
  <c r="S53" i="6"/>
  <c r="S4" i="4"/>
  <c r="S8" i="4"/>
  <c r="T7" i="6"/>
  <c r="T53" i="6"/>
  <c r="T4" i="4"/>
  <c r="T8" i="4"/>
  <c r="U7" i="6"/>
  <c r="U53" i="6"/>
  <c r="U4" i="4"/>
  <c r="V7" i="6"/>
  <c r="U8" i="4"/>
  <c r="V53" i="6"/>
  <c r="V4" i="4"/>
  <c r="W7" i="6"/>
  <c r="V8" i="4"/>
  <c r="W53" i="6"/>
  <c r="W4" i="4"/>
  <c r="W8" i="4"/>
  <c r="X7" i="6"/>
  <c r="X53" i="6"/>
  <c r="X8" i="4"/>
  <c r="Y7" i="6"/>
  <c r="Y53" i="6"/>
  <c r="Y4" i="4"/>
  <c r="Z7" i="6"/>
  <c r="Y8" i="4"/>
  <c r="Z53" i="6"/>
  <c r="Z4" i="4"/>
  <c r="AA7" i="6"/>
  <c r="Z8" i="4"/>
  <c r="AA53" i="6"/>
  <c r="AA4" i="4"/>
  <c r="AB7" i="6"/>
  <c r="AA8" i="4"/>
  <c r="AB53" i="6"/>
  <c r="AB4" i="4"/>
  <c r="P4" i="4"/>
  <c r="AB8" i="4"/>
  <c r="AD7" i="6"/>
  <c r="AD4" i="4"/>
  <c r="AC4" i="4"/>
  <c r="AC7" i="6"/>
  <c r="AC5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4" authorId="0" shapeId="0" xr:uid="{00000000-0006-0000-0500-000001000000}">
      <text>
        <r>
          <rPr>
            <sz val="10"/>
            <color rgb="FF000000"/>
            <rFont val="Arial"/>
            <scheme val="minor"/>
          </rPr>
          <t>Первый год 50% от ЧД, Второй год 20% от ЧД, Третий год 30% от ЧД</t>
        </r>
      </text>
    </comment>
  </commentList>
</comments>
</file>

<file path=xl/sharedStrings.xml><?xml version="1.0" encoding="utf-8"?>
<sst xmlns="http://schemas.openxmlformats.org/spreadsheetml/2006/main" count="257" uniqueCount="185">
  <si>
    <t>НАША ОРГАНИЗАЦИЯ</t>
  </si>
  <si>
    <t>Объект</t>
  </si>
  <si>
    <t>Основная деятельность</t>
  </si>
  <si>
    <t>ОКЭД</t>
  </si>
  <si>
    <t>Канал продаж № 1</t>
  </si>
  <si>
    <t>Канал продаж № 2</t>
  </si>
  <si>
    <t>Система налогооблажения</t>
  </si>
  <si>
    <t>НАЛОГ НА ДОХОД</t>
  </si>
  <si>
    <t>НДС Импорт</t>
  </si>
  <si>
    <t>НАЛОГИ ПО ЗП (к выплате "на руки"</t>
  </si>
  <si>
    <t xml:space="preserve">ГОДОВОЙ ПРЕДЕЛ ПО УСН </t>
  </si>
  <si>
    <t>ОКЭД №1</t>
  </si>
  <si>
    <t>ОКЭД №2</t>
  </si>
  <si>
    <t>ОКЭД №3</t>
  </si>
  <si>
    <t>ТОО  "////"</t>
  </si>
  <si>
    <t>продажи товаров на маркетплейсах, Импорт и Экспорт в РК</t>
  </si>
  <si>
    <t>Kaspi</t>
  </si>
  <si>
    <t>УСН / Розничный налог</t>
  </si>
  <si>
    <t>КАНАЛЫ ПРОДАЖ</t>
  </si>
  <si>
    <t>Wildberries</t>
  </si>
  <si>
    <t>НАЛОГИ  / ПОРОГИ  / ПОКАЗАТЕЛИ</t>
  </si>
  <si>
    <t>СТАВКА</t>
  </si>
  <si>
    <t xml:space="preserve">ИПН </t>
  </si>
  <si>
    <t>КПН</t>
  </si>
  <si>
    <t>НДС</t>
  </si>
  <si>
    <t>МРП (2023)</t>
  </si>
  <si>
    <t>МЗП (2023)</t>
  </si>
  <si>
    <t>СЕБЕСТОИМОСТЬ ЗАКУПОЧНАЯ ПАРТИИ  (80 куб.м)</t>
  </si>
  <si>
    <t>НАИМЕНОВАНИЕ</t>
  </si>
  <si>
    <t>ОБЪЕКТ</t>
  </si>
  <si>
    <t>КОЛИЧЕСТВО</t>
  </si>
  <si>
    <t>ЕД.ИЗМ.</t>
  </si>
  <si>
    <t xml:space="preserve">СЕБЕСТОИМОСТЬ </t>
  </si>
  <si>
    <t>ЦЕНА РОЗНИЧНАЯ</t>
  </si>
  <si>
    <t>ВАЛОВАЯ ПРИБЫЛЬ</t>
  </si>
  <si>
    <t>Товары закупленные</t>
  </si>
  <si>
    <t>партия-86 куб.м.</t>
  </si>
  <si>
    <t>Инвойс цена</t>
  </si>
  <si>
    <t>Доставка до Алматы 14000$</t>
  </si>
  <si>
    <t>Растоможка  и таможенные пошлины (8%)</t>
  </si>
  <si>
    <t>НДС импорт РК</t>
  </si>
  <si>
    <t xml:space="preserve">СЕБЕСТОИМОСТЬ И ЦЕНА ПО НАШЕЙ ОРГАНИЗАЦИИ </t>
  </si>
  <si>
    <t>РАСПРЕДЕЛЕНИЕ ОБЩЕЕ</t>
  </si>
  <si>
    <t>ПЕРЕМЕЩЕНИЕ НА ТОО  "///"  продажи на  WB РФ</t>
  </si>
  <si>
    <t xml:space="preserve">НАИМЕНОВАНИЕ </t>
  </si>
  <si>
    <t>СЕБЕСТОИМОСТЬ</t>
  </si>
  <si>
    <t xml:space="preserve">ЦЕНА РОЗНИЧНАЯ </t>
  </si>
  <si>
    <t xml:space="preserve">ВАЛОВАЯ ПРИБЫЛЬ </t>
  </si>
  <si>
    <t>Товары распределенные ТОО  "////" в Москву</t>
  </si>
  <si>
    <t xml:space="preserve">Перемещение (по себестоимости закупа) </t>
  </si>
  <si>
    <t>Доставка до Москвы (300 тг / 3850 км)</t>
  </si>
  <si>
    <t>РЕАЛИЗАЦИЯ НА ТОО  "////"  для продажи на  Kaspi</t>
  </si>
  <si>
    <t>Товары распределенные ТОО  "////" на  Kaspi</t>
  </si>
  <si>
    <t>Реализация по себестоимости закупа ( без НДС)</t>
  </si>
  <si>
    <t>ПЛАН</t>
  </si>
  <si>
    <t>График закупа (в партиях)</t>
  </si>
  <si>
    <t>ОБЪЕКТЫ / ПАРТИИ НА ЗАКУП</t>
  </si>
  <si>
    <t>Рекомендация</t>
  </si>
  <si>
    <t>План</t>
  </si>
  <si>
    <t>Сумма  в млн.тг.</t>
  </si>
  <si>
    <t>Цикл от оплаты до постуления  один мес</t>
  </si>
  <si>
    <t>График поступлений (в партиях)</t>
  </si>
  <si>
    <t>ОБЪЕКТЫ / ПАРТИИ НА ПОСТУПЛЕНИИ</t>
  </si>
  <si>
    <t>Кол-во партий</t>
  </si>
  <si>
    <t>Сумма</t>
  </si>
  <si>
    <t>Распределение поступлений по объектам  (в тенге)</t>
  </si>
  <si>
    <t>ТОО  "////" через WB в РФ</t>
  </si>
  <si>
    <t>ТОО  "////" через Kaspi</t>
  </si>
  <si>
    <t>Цикл реализации два месяца</t>
  </si>
  <si>
    <t>1 месяц Продажи с партии</t>
  </si>
  <si>
    <t>2 месяц Продажи с партии</t>
  </si>
  <si>
    <t xml:space="preserve">ДЛЯ ОДДС ВЫРУЧКА </t>
  </si>
  <si>
    <t>Себестоимость закупа  ( в тенге)</t>
  </si>
  <si>
    <t>ОБЪЕМ ПРОДАЖ</t>
  </si>
  <si>
    <t>ТОО  "////"  через Kaspi</t>
  </si>
  <si>
    <t>Выручка с продаж по объектам  (в партиях)</t>
  </si>
  <si>
    <t>ДЛЯ ОПИУ ДОХОД  / СЕБЕСТОИМОСТЬ ПРОДАЖ</t>
  </si>
  <si>
    <t>Себестоимость продаж по объектам  (в тенге)</t>
  </si>
  <si>
    <t>Выручка с продаж по объектам  ( в тенге)</t>
  </si>
  <si>
    <t>ФИНАНСИРОВАНИЕ НА 2023 г</t>
  </si>
  <si>
    <t>ГРАФИК ПО ФИНАНСИРОВАНИЮ</t>
  </si>
  <si>
    <t>Критерии</t>
  </si>
  <si>
    <t xml:space="preserve">Сумма </t>
  </si>
  <si>
    <t>Статьи по финансированию</t>
  </si>
  <si>
    <t>Финансирование в основной капитал</t>
  </si>
  <si>
    <t xml:space="preserve">Поступления фин-я </t>
  </si>
  <si>
    <t>Ежегодный процент</t>
  </si>
  <si>
    <t>Возврат фин-я</t>
  </si>
  <si>
    <t>Возврат  тела займа</t>
  </si>
  <si>
    <t>В конце года одной суммой</t>
  </si>
  <si>
    <t>Выплата % по фин-ю</t>
  </si>
  <si>
    <t>Оплата  процентов</t>
  </si>
  <si>
    <t>ежеквартально</t>
  </si>
  <si>
    <t>УСЛОВИЯ ФИНАНСИРОВАНИЯ ПО ЭТАПАМ</t>
  </si>
  <si>
    <t>Этапы</t>
  </si>
  <si>
    <t>1-ЭТАП  (15.04.23)</t>
  </si>
  <si>
    <t>2-ЭТАП  (01.05.23)</t>
  </si>
  <si>
    <t>3-ЭТАП  (01.07.23)</t>
  </si>
  <si>
    <t>ИТОГО ПО ПРОЕКТУ:</t>
  </si>
  <si>
    <t>ПЛАН ОДДС</t>
  </si>
  <si>
    <t>СТАТЬИ</t>
  </si>
  <si>
    <t>% в выручке</t>
  </si>
  <si>
    <t>ОСТАТОК НА НАЧАЛО ПЕРИОДА</t>
  </si>
  <si>
    <t>ОПЕРАЦИОННАЯ ДЕЯТЕЛЬНОСТЬ</t>
  </si>
  <si>
    <t>ПОСТУПЛЕНИЕ</t>
  </si>
  <si>
    <t>ВЫБЫТИЕ</t>
  </si>
  <si>
    <t>Затраты по закупу</t>
  </si>
  <si>
    <t>Затраты по реализации</t>
  </si>
  <si>
    <t>Затраты по WB</t>
  </si>
  <si>
    <t>Доставка до Москвы - 5%</t>
  </si>
  <si>
    <t>Комиссия WB - 17%</t>
  </si>
  <si>
    <t>Прочие расходы по WB - 4% (транзит, перемещения)</t>
  </si>
  <si>
    <t>Затраты по KASPI</t>
  </si>
  <si>
    <t>Комиссия WB - 12%</t>
  </si>
  <si>
    <t>Прочие расходы по Kaspi - 2%</t>
  </si>
  <si>
    <t>Затраты периода</t>
  </si>
  <si>
    <t>Заработная плата "net"</t>
  </si>
  <si>
    <t>Налоги и отчисления с  заработной платы</t>
  </si>
  <si>
    <t>Аренда офиса с коммунальными расходами</t>
  </si>
  <si>
    <t>Аренда склада с коммунальными расходами</t>
  </si>
  <si>
    <r>
      <rPr>
        <sz val="10"/>
        <color rgb="FF211F30"/>
        <rFont val="Oswald"/>
      </rPr>
      <t>Маркетинговое продвижение  1</t>
    </r>
    <r>
      <rPr>
        <strike/>
        <sz val="10"/>
        <color rgb="FF211F30"/>
        <rFont val="Oswald"/>
      </rPr>
      <t>%</t>
    </r>
  </si>
  <si>
    <r>
      <rPr>
        <sz val="10"/>
        <color rgb="FF211F30"/>
        <rFont val="Oswald"/>
      </rPr>
      <t>Фулфилмент (Астана-каспи, Москва -WB)  1,5</t>
    </r>
    <r>
      <rPr>
        <strike/>
        <sz val="10"/>
        <color rgb="FF211F30"/>
        <rFont val="Oswald"/>
      </rPr>
      <t>%</t>
    </r>
  </si>
  <si>
    <t>Консультационные расходы</t>
  </si>
  <si>
    <t>IT продукты и услуги</t>
  </si>
  <si>
    <t>Хоз. Товары, ГСМ, связь</t>
  </si>
  <si>
    <t>НДС импорт к оплате</t>
  </si>
  <si>
    <t>Налог на доход 4%</t>
  </si>
  <si>
    <t>ФИНАНСОВАЯ ДЕЯТЕЛЬНОСТЬ</t>
  </si>
  <si>
    <t>Получение процентных займов</t>
  </si>
  <si>
    <t>Получение безпроцентных займов</t>
  </si>
  <si>
    <t>Возврат процентных займов (тело)</t>
  </si>
  <si>
    <t>Выплаты по процентам</t>
  </si>
  <si>
    <t>Выплаты по дивидендам от ЧП- Возврат</t>
  </si>
  <si>
    <t>ИНВЕСТИЦИОННАЯ ДЕЯТЕЛЬНОСТЬ</t>
  </si>
  <si>
    <t>Продажа ОС</t>
  </si>
  <si>
    <t>Продажа доли компании</t>
  </si>
  <si>
    <t>Покупка ОС</t>
  </si>
  <si>
    <t>Резерв</t>
  </si>
  <si>
    <t>ОБЩИЙ ОБОРОТ ЗА ПЕРИОД</t>
  </si>
  <si>
    <t>ОСТАТОК НА КОНЕЦ ПЕРИОДА</t>
  </si>
  <si>
    <t>ПЛАН ОПИУ</t>
  </si>
  <si>
    <t>ДОХОД</t>
  </si>
  <si>
    <t>ДОХОДЫ ПО ОБЪЕКТАМ</t>
  </si>
  <si>
    <t>РАСХОДЫ</t>
  </si>
  <si>
    <t>СЕБЕСТОИМОСТЬ ПО ПРИОБРЕТЕНИЮ</t>
  </si>
  <si>
    <t>СЕБЕСТОЙМОСТЬ ТОВАРОВ - ПО ИНВОЙС ЦЕНЕ</t>
  </si>
  <si>
    <t>РАСХОДЫ ПО ЗАКУПУ</t>
  </si>
  <si>
    <t>РАСХОДЫ ПО РЕАЛИЗАЦИИ</t>
  </si>
  <si>
    <t>РАСХОДЫ ПО WB</t>
  </si>
  <si>
    <t>Прочие расходы по WB - 4%</t>
  </si>
  <si>
    <t>РАСХОДЫ ПО Kaspi</t>
  </si>
  <si>
    <t>Комиссия Kaspi - 12%</t>
  </si>
  <si>
    <t>РАСХОДЫ ПЕРИОДА</t>
  </si>
  <si>
    <t xml:space="preserve">Маркетинговое продвижение  </t>
  </si>
  <si>
    <t>Фулфилмент (Астана, Москва)</t>
  </si>
  <si>
    <t>Амортизация</t>
  </si>
  <si>
    <t>РАСХОДЫ ПО ПРОЦЕНТАМ НОВОГО ФИНАН-Я</t>
  </si>
  <si>
    <t>ПРИБЫЛЬ ДО НАЛОГООБЛАЖЕНИЯ</t>
  </si>
  <si>
    <t>НАЛОГ НА ДОХОД 4%</t>
  </si>
  <si>
    <t>ЧИСТАЯ ПРИБЫЛЬ</t>
  </si>
  <si>
    <t>ФИНАНСОВЫЕ ПОКАЗАТЕЛИ</t>
  </si>
  <si>
    <t>ВЫРУЧКА ОТ ПРОДАЖ</t>
  </si>
  <si>
    <t>РЕНТАБЕЛЬНОСТЬ ПРОДАЖ %</t>
  </si>
  <si>
    <t>ЧИСТАЯ РЕНТАБЕЛЬНОСТЬ %</t>
  </si>
  <si>
    <t>ИНВЕСТИЦИОННЫЕ ПОКАЗАТЕЛИ</t>
  </si>
  <si>
    <t>ПОКАЗАТЕЛИ</t>
  </si>
  <si>
    <t>IRR  (внутренняя норма доходности) ко 2 году</t>
  </si>
  <si>
    <t>NPV (чистая текущая стоимость) ко 2 году, в тенге</t>
  </si>
  <si>
    <t>PI (индекс окупаемости проекта) ко 2 году</t>
  </si>
  <si>
    <t>PP (срок окупаемости инв простой), в месяцах</t>
  </si>
  <si>
    <t>1  год</t>
  </si>
  <si>
    <t>2 год</t>
  </si>
  <si>
    <t>ПЛАН ПО НАЛОГАМ</t>
  </si>
  <si>
    <t>ИТОГО УПЛАЧЕННЫХ НАЛОГОВ</t>
  </si>
  <si>
    <t>НАЛОГОВАЯ НАГРУЗКА (к выручке)</t>
  </si>
  <si>
    <t>КУРСЫ ВАЛЮТ НАЦ БАНКА</t>
  </si>
  <si>
    <t>Дата</t>
  </si>
  <si>
    <t>USD</t>
  </si>
  <si>
    <t>CNY</t>
  </si>
  <si>
    <t>EUR</t>
  </si>
  <si>
    <t>RUB</t>
  </si>
  <si>
    <t>//rates/item[title="USD"]/description</t>
  </si>
  <si>
    <t>//rates/item[title="CNY"]/description</t>
  </si>
  <si>
    <t>//rates/item[title="EUR"]/description</t>
  </si>
  <si>
    <t>//rates/item[title="RUB"]/description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</si>
</sst>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\(#,##0.00\)"/>
    <numFmt numFmtId="165" formatCode="0.0%"/>
    <numFmt numFmtId="166" formatCode="&quot;..&quot;yyyy"/>
    <numFmt numFmtId="167" formatCode="&quot;.&quot;mmm&quot;.&quot;yy"/>
    <numFmt numFmtId="168" formatCode="dd&quot;.&quot;mm&quot;.&quot;yy"/>
    <numFmt numFmtId="169" formatCode="dd\.mm\.yy"/>
  </numFmts>
  <fonts count="40" x14ac:knownFonts="1">
    <font>
      <sz val="10"/>
      <color rgb="FF000000"/>
      <name val="Arial"/>
      <scheme val="minor"/>
    </font>
    <font>
      <sz val="14"/>
      <color rgb="FFFFFFFF"/>
      <name val="Oswald"/>
    </font>
    <font>
      <sz val="10"/>
      <color theme="1"/>
      <name val="Arial"/>
    </font>
    <font>
      <sz val="10"/>
      <color theme="0"/>
      <name val="Oswald"/>
    </font>
    <font>
      <sz val="12"/>
      <color rgb="FF211F30"/>
      <name val="Oswald"/>
    </font>
    <font>
      <sz val="12"/>
      <color rgb="FFFFFFFF"/>
      <name val="Oswald"/>
    </font>
    <font>
      <sz val="12"/>
      <color rgb="FF32384D"/>
      <name val="Oswald"/>
    </font>
    <font>
      <b/>
      <sz val="10"/>
      <color rgb="FF211F30"/>
      <name val="Oswald"/>
    </font>
    <font>
      <b/>
      <sz val="10"/>
      <color rgb="FF211F30"/>
      <name val="Oswald"/>
    </font>
    <font>
      <b/>
      <sz val="10"/>
      <color theme="1"/>
      <name val="Arial"/>
    </font>
    <font>
      <b/>
      <sz val="10"/>
      <color rgb="FF32384D"/>
      <name val="Oswald"/>
    </font>
    <font>
      <b/>
      <sz val="10"/>
      <color theme="0"/>
      <name val="Oswald"/>
    </font>
    <font>
      <sz val="10"/>
      <color rgb="FFFFFFFF"/>
      <name val="Oswald"/>
    </font>
    <font>
      <sz val="10"/>
      <color rgb="FF211F30"/>
      <name val="Oswald"/>
    </font>
    <font>
      <b/>
      <sz val="14"/>
      <color rgb="FFFFFFFF"/>
      <name val="Oswald"/>
    </font>
    <font>
      <sz val="10"/>
      <name val="Arial"/>
    </font>
    <font>
      <sz val="10"/>
      <color theme="0"/>
      <name val="Oswald"/>
    </font>
    <font>
      <sz val="10"/>
      <color rgb="FFFFFFFF"/>
      <name val="Oswald"/>
    </font>
    <font>
      <sz val="10"/>
      <color rgb="FF211F30"/>
      <name val="Oswald"/>
    </font>
    <font>
      <sz val="10"/>
      <color rgb="FFE29930"/>
      <name val="Oswald"/>
    </font>
    <font>
      <sz val="10"/>
      <color rgb="FF217CA3"/>
      <name val="Oswald"/>
    </font>
    <font>
      <sz val="12"/>
      <color theme="0"/>
      <name val="Oswald"/>
    </font>
    <font>
      <b/>
      <sz val="10"/>
      <color rgb="FF217CA3"/>
      <name val="Oswald"/>
    </font>
    <font>
      <b/>
      <sz val="10"/>
      <color rgb="FFFFFFFF"/>
      <name val="Oswald"/>
    </font>
    <font>
      <sz val="10"/>
      <color rgb="FF32384D"/>
      <name val="Oswald"/>
    </font>
    <font>
      <b/>
      <sz val="12"/>
      <color rgb="FFFFFFFF"/>
      <name val="Oswald"/>
    </font>
    <font>
      <b/>
      <sz val="10"/>
      <color theme="0"/>
      <name val="Oswald"/>
    </font>
    <font>
      <i/>
      <sz val="10"/>
      <color rgb="FF211F30"/>
      <name val="Oswald"/>
    </font>
    <font>
      <i/>
      <sz val="10"/>
      <color rgb="FF32384D"/>
      <name val="Oswald"/>
    </font>
    <font>
      <b/>
      <sz val="10"/>
      <color rgb="FFFFFFFF"/>
      <name val="Oswald"/>
    </font>
    <font>
      <b/>
      <sz val="10"/>
      <color rgb="FF32384D"/>
      <name val="Oswald"/>
    </font>
    <font>
      <sz val="10"/>
      <color rgb="FFEA4335"/>
      <name val="Oswald"/>
    </font>
    <font>
      <u/>
      <sz val="10"/>
      <color theme="0"/>
      <name val="Oswald"/>
    </font>
    <font>
      <sz val="10"/>
      <color rgb="FF32384D"/>
      <name val="Oswald"/>
    </font>
    <font>
      <sz val="10"/>
      <color rgb="FF32384D"/>
      <name val="Arial"/>
      <scheme val="minor"/>
    </font>
    <font>
      <sz val="10"/>
      <color rgb="FFFFFFFF"/>
      <name val="Arial"/>
      <scheme val="minor"/>
    </font>
    <font>
      <sz val="10"/>
      <color theme="1"/>
      <name val="Arial"/>
      <scheme val="minor"/>
    </font>
    <font>
      <sz val="10"/>
      <color theme="0"/>
      <name val="Arial"/>
      <scheme val="minor"/>
    </font>
    <font>
      <sz val="11"/>
      <color theme="0"/>
      <name val="Inconsolata"/>
    </font>
    <font>
      <strike/>
      <sz val="10"/>
      <color rgb="FF211F30"/>
      <name val="Oswald"/>
    </font>
  </fonts>
  <fills count="8">
    <fill>
      <patternFill patternType="none"/>
    </fill>
    <fill>
      <patternFill patternType="gray125"/>
    </fill>
    <fill>
      <patternFill patternType="solid">
        <fgColor rgb="FF32384D"/>
        <bgColor rgb="FF32384D"/>
      </patternFill>
    </fill>
    <fill>
      <patternFill patternType="solid">
        <fgColor rgb="FF217CA3"/>
        <bgColor rgb="FF217CA3"/>
      </patternFill>
    </fill>
    <fill>
      <patternFill patternType="solid">
        <fgColor theme="0"/>
        <bgColor theme="0"/>
      </patternFill>
    </fill>
    <fill>
      <patternFill patternType="solid">
        <fgColor rgb="FF211F30"/>
        <bgColor rgb="FF211F30"/>
      </patternFill>
    </fill>
    <fill>
      <patternFill patternType="solid">
        <fgColor rgb="FFE29930"/>
        <bgColor rgb="FFE29930"/>
      </patternFill>
    </fill>
    <fill>
      <patternFill patternType="solid">
        <fgColor theme="6"/>
        <bgColor theme="6"/>
      </patternFill>
    </fill>
  </fills>
  <borders count="26">
    <border>
      <left/>
      <right/>
      <top/>
      <bottom/>
      <diagonal/>
    </border>
    <border>
      <left/>
      <right/>
      <top/>
      <bottom style="thin">
        <color rgb="FFE29930"/>
      </bottom>
      <diagonal/>
    </border>
    <border>
      <left style="thin">
        <color rgb="FFE29930"/>
      </left>
      <right style="thin">
        <color rgb="FFE29930"/>
      </right>
      <top style="thin">
        <color rgb="FFE2993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BBC04"/>
      </right>
      <top style="thin">
        <color rgb="FFFBBC04"/>
      </top>
      <bottom style="thin">
        <color rgb="FFFBBC04"/>
      </bottom>
      <diagonal/>
    </border>
    <border>
      <left style="thin">
        <color rgb="FFFBBC04"/>
      </left>
      <right style="thin">
        <color rgb="FFFBBC04"/>
      </right>
      <top style="thin">
        <color rgb="FFFBBC04"/>
      </top>
      <bottom style="thin">
        <color rgb="FFFBBC04"/>
      </bottom>
      <diagonal/>
    </border>
    <border>
      <left style="thin">
        <color rgb="FFFBBC04"/>
      </left>
      <right style="thin">
        <color rgb="FFFBBC04"/>
      </right>
      <top/>
      <bottom style="thin">
        <color rgb="FFFBBC04"/>
      </bottom>
      <diagonal/>
    </border>
    <border>
      <left style="thin">
        <color rgb="FFE29930"/>
      </left>
      <right style="thin">
        <color rgb="FFE29930"/>
      </right>
      <top style="thin">
        <color rgb="FFE29930"/>
      </top>
      <bottom style="thin">
        <color rgb="FFE29930"/>
      </bottom>
      <diagonal/>
    </border>
    <border>
      <left style="thin">
        <color rgb="FFE29930"/>
      </left>
      <right/>
      <top style="thin">
        <color rgb="FFE29930"/>
      </top>
      <bottom style="thin">
        <color rgb="FFE29930"/>
      </bottom>
      <diagonal/>
    </border>
    <border>
      <left/>
      <right/>
      <top style="thin">
        <color rgb="FFE29930"/>
      </top>
      <bottom style="thin">
        <color rgb="FFE29930"/>
      </bottom>
      <diagonal/>
    </border>
    <border>
      <left style="thin">
        <color rgb="FFE29930"/>
      </left>
      <right/>
      <top style="thin">
        <color rgb="FFE29930"/>
      </top>
      <bottom/>
      <diagonal/>
    </border>
    <border>
      <left/>
      <right/>
      <top style="thin">
        <color rgb="FFFBBC04"/>
      </top>
      <bottom style="thin">
        <color rgb="FFFBBC04"/>
      </bottom>
      <diagonal/>
    </border>
    <border>
      <left style="thin">
        <color rgb="FF32384D"/>
      </left>
      <right/>
      <top style="thin">
        <color rgb="FF32384D"/>
      </top>
      <bottom style="thin">
        <color rgb="FF32384D"/>
      </bottom>
      <diagonal/>
    </border>
    <border>
      <left/>
      <right style="thin">
        <color rgb="FFE29930"/>
      </right>
      <top style="thin">
        <color rgb="FFE29930"/>
      </top>
      <bottom style="thin">
        <color rgb="FFE29930"/>
      </bottom>
      <diagonal/>
    </border>
    <border>
      <left/>
      <right style="thin">
        <color rgb="FFE29930"/>
      </right>
      <top style="thin">
        <color rgb="FFE29930"/>
      </top>
      <bottom/>
      <diagonal/>
    </border>
    <border>
      <left/>
      <right style="thin">
        <color rgb="FFE2993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BBC04"/>
      </left>
      <right/>
      <top style="thin">
        <color rgb="FFFBBC04"/>
      </top>
      <bottom style="thin">
        <color rgb="FFFBBC04"/>
      </bottom>
      <diagonal/>
    </border>
    <border>
      <left/>
      <right style="thin">
        <color rgb="FF32384D"/>
      </right>
      <top/>
      <bottom style="thin">
        <color rgb="FF32384D"/>
      </bottom>
      <diagonal/>
    </border>
    <border>
      <left style="thin">
        <color rgb="FF32384D"/>
      </left>
      <right style="thin">
        <color rgb="FF32384D"/>
      </right>
      <top style="thin">
        <color rgb="FF32384D"/>
      </top>
      <bottom style="thin">
        <color rgb="FF32384D"/>
      </bottom>
      <diagonal/>
    </border>
    <border>
      <left style="thin">
        <color rgb="FF32384D"/>
      </left>
      <right style="thin">
        <color rgb="FF32384D"/>
      </right>
      <top/>
      <bottom style="thin">
        <color rgb="FF32384D"/>
      </bottom>
      <diagonal/>
    </border>
    <border>
      <left/>
      <right style="thin">
        <color rgb="FF32384D"/>
      </right>
      <top style="thin">
        <color rgb="FF32384D"/>
      </top>
      <bottom style="thin">
        <color rgb="FF32384D"/>
      </bottom>
      <diagonal/>
    </border>
    <border>
      <left style="thin">
        <color rgb="FF32384D"/>
      </left>
      <right style="thin">
        <color rgb="FF32384D"/>
      </right>
      <top style="thin">
        <color rgb="FF32384D"/>
      </top>
      <bottom/>
      <diagonal/>
    </border>
    <border>
      <left style="thin">
        <color rgb="FFE29930"/>
      </left>
      <right style="thin">
        <color rgb="FFE29930"/>
      </right>
      <top style="thin">
        <color rgb="FFE29930"/>
      </top>
      <bottom style="thin">
        <color rgb="FF32384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right" vertical="top" wrapText="1"/>
    </xf>
    <xf numFmtId="0" fontId="8" fillId="4" borderId="5" xfId="0" applyFont="1" applyFill="1" applyBorder="1" applyAlignment="1">
      <alignment horizontal="right" vertical="top" wrapText="1"/>
    </xf>
    <xf numFmtId="0" fontId="8" fillId="4" borderId="5" xfId="0" applyFont="1" applyFill="1" applyBorder="1" applyAlignment="1">
      <alignment horizontal="right" vertical="top" wrapText="1"/>
    </xf>
    <xf numFmtId="0" fontId="9" fillId="4" borderId="6" xfId="0" applyFont="1" applyFill="1" applyBorder="1" applyAlignment="1">
      <alignment horizontal="right" vertical="top"/>
    </xf>
    <xf numFmtId="9" fontId="10" fillId="4" borderId="5" xfId="0" applyNumberFormat="1" applyFont="1" applyFill="1" applyBorder="1" applyAlignment="1">
      <alignment horizontal="right" vertical="top" wrapText="1"/>
    </xf>
    <xf numFmtId="4" fontId="10" fillId="4" borderId="5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1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13" fillId="4" borderId="7" xfId="0" applyFont="1" applyFill="1" applyBorder="1" applyAlignment="1">
      <alignment vertical="top" wrapText="1"/>
    </xf>
    <xf numFmtId="9" fontId="13" fillId="4" borderId="7" xfId="0" applyNumberFormat="1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16" fillId="6" borderId="4" xfId="0" applyFont="1" applyFill="1" applyBorder="1" applyAlignment="1">
      <alignment horizontal="left" vertical="top" wrapText="1"/>
    </xf>
    <xf numFmtId="164" fontId="16" fillId="6" borderId="4" xfId="0" applyNumberFormat="1" applyFont="1" applyFill="1" applyBorder="1" applyAlignment="1">
      <alignment horizontal="right" vertical="top" wrapText="1"/>
    </xf>
    <xf numFmtId="3" fontId="16" fillId="6" borderId="4" xfId="0" applyNumberFormat="1" applyFont="1" applyFill="1" applyBorder="1" applyAlignment="1">
      <alignment horizontal="right" vertical="top" wrapText="1"/>
    </xf>
    <xf numFmtId="4" fontId="16" fillId="6" borderId="4" xfId="0" applyNumberFormat="1" applyFont="1" applyFill="1" applyBorder="1" applyAlignment="1">
      <alignment horizontal="right" vertical="top" wrapText="1"/>
    </xf>
    <xf numFmtId="4" fontId="17" fillId="6" borderId="4" xfId="0" applyNumberFormat="1" applyFont="1" applyFill="1" applyBorder="1" applyAlignment="1">
      <alignment horizontal="right" vertical="top" wrapText="1"/>
    </xf>
    <xf numFmtId="165" fontId="16" fillId="6" borderId="11" xfId="0" applyNumberFormat="1" applyFont="1" applyFill="1" applyBorder="1" applyAlignment="1">
      <alignment horizontal="right" vertical="top" wrapText="1"/>
    </xf>
    <xf numFmtId="0" fontId="18" fillId="4" borderId="4" xfId="0" applyFont="1" applyFill="1" applyBorder="1" applyAlignment="1">
      <alignment horizontal="right" vertical="top" wrapText="1"/>
    </xf>
    <xf numFmtId="164" fontId="18" fillId="4" borderId="4" xfId="0" applyNumberFormat="1" applyFont="1" applyFill="1" applyBorder="1" applyAlignment="1">
      <alignment horizontal="right" vertical="top" wrapText="1"/>
    </xf>
    <xf numFmtId="3" fontId="18" fillId="4" borderId="4" xfId="0" applyNumberFormat="1" applyFont="1" applyFill="1" applyBorder="1" applyAlignment="1">
      <alignment horizontal="right" vertical="top" wrapText="1"/>
    </xf>
    <xf numFmtId="4" fontId="18" fillId="4" borderId="4" xfId="0" applyNumberFormat="1" applyFont="1" applyFill="1" applyBorder="1" applyAlignment="1">
      <alignment horizontal="right" vertical="top" wrapText="1"/>
    </xf>
    <xf numFmtId="4" fontId="16" fillId="4" borderId="4" xfId="0" applyNumberFormat="1" applyFont="1" applyFill="1" applyBorder="1" applyAlignment="1">
      <alignment horizontal="right" vertical="top" wrapText="1"/>
    </xf>
    <xf numFmtId="165" fontId="18" fillId="4" borderId="11" xfId="0" applyNumberFormat="1" applyFont="1" applyFill="1" applyBorder="1" applyAlignment="1">
      <alignment horizontal="right" vertical="top" wrapText="1"/>
    </xf>
    <xf numFmtId="0" fontId="19" fillId="4" borderId="4" xfId="0" applyFont="1" applyFill="1" applyBorder="1" applyAlignment="1">
      <alignment horizontal="right" vertical="top" wrapText="1"/>
    </xf>
    <xf numFmtId="164" fontId="19" fillId="4" borderId="4" xfId="0" applyNumberFormat="1" applyFont="1" applyFill="1" applyBorder="1" applyAlignment="1">
      <alignment horizontal="right" vertical="top" wrapText="1"/>
    </xf>
    <xf numFmtId="3" fontId="19" fillId="4" borderId="4" xfId="0" applyNumberFormat="1" applyFont="1" applyFill="1" applyBorder="1" applyAlignment="1">
      <alignment horizontal="right" vertical="top" wrapText="1"/>
    </xf>
    <xf numFmtId="4" fontId="19" fillId="4" borderId="4" xfId="0" applyNumberFormat="1" applyFont="1" applyFill="1" applyBorder="1" applyAlignment="1">
      <alignment horizontal="right" vertical="top" wrapText="1"/>
    </xf>
    <xf numFmtId="165" fontId="19" fillId="4" borderId="11" xfId="0" applyNumberFormat="1" applyFont="1" applyFill="1" applyBorder="1" applyAlignment="1">
      <alignment horizontal="right" vertical="top" wrapText="1"/>
    </xf>
    <xf numFmtId="0" fontId="1" fillId="5" borderId="0" xfId="0" applyFont="1" applyFill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10" fontId="3" fillId="5" borderId="5" xfId="0" applyNumberFormat="1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right" vertical="top" wrapText="1"/>
    </xf>
    <xf numFmtId="4" fontId="3" fillId="5" borderId="5" xfId="0" applyNumberFormat="1" applyFont="1" applyFill="1" applyBorder="1" applyAlignment="1">
      <alignment horizontal="left" vertical="top" wrapText="1"/>
    </xf>
    <xf numFmtId="4" fontId="3" fillId="5" borderId="5" xfId="0" applyNumberFormat="1" applyFont="1" applyFill="1" applyBorder="1" applyAlignment="1">
      <alignment horizontal="right" vertical="top" wrapText="1"/>
    </xf>
    <xf numFmtId="0" fontId="20" fillId="4" borderId="4" xfId="0" applyFont="1" applyFill="1" applyBorder="1" applyAlignment="1">
      <alignment horizontal="right" vertical="top" wrapText="1"/>
    </xf>
    <xf numFmtId="165" fontId="19" fillId="5" borderId="11" xfId="0" applyNumberFormat="1" applyFont="1" applyFill="1" applyBorder="1" applyAlignment="1">
      <alignment horizontal="right" vertical="top" wrapText="1"/>
    </xf>
    <xf numFmtId="0" fontId="12" fillId="5" borderId="0" xfId="0" applyFont="1" applyFill="1" applyAlignment="1">
      <alignment horizontal="right" vertical="top" wrapText="1"/>
    </xf>
    <xf numFmtId="165" fontId="3" fillId="5" borderId="0" xfId="0" applyNumberFormat="1" applyFont="1" applyFill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7" fillId="6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5" fillId="3" borderId="14" xfId="0" applyFont="1" applyFill="1" applyBorder="1" applyAlignment="1">
      <alignment vertical="top" wrapText="1"/>
    </xf>
    <xf numFmtId="166" fontId="5" fillId="3" borderId="2" xfId="0" applyNumberFormat="1" applyFont="1" applyFill="1" applyBorder="1" applyAlignment="1">
      <alignment vertical="top" wrapText="1"/>
    </xf>
    <xf numFmtId="167" fontId="21" fillId="3" borderId="2" xfId="0" applyNumberFormat="1" applyFont="1" applyFill="1" applyBorder="1" applyAlignment="1">
      <alignment vertical="top" wrapText="1"/>
    </xf>
    <xf numFmtId="167" fontId="21" fillId="3" borderId="10" xfId="0" applyNumberFormat="1" applyFont="1" applyFill="1" applyBorder="1" applyAlignment="1">
      <alignment vertical="top" wrapText="1"/>
    </xf>
    <xf numFmtId="167" fontId="5" fillId="3" borderId="2" xfId="0" applyNumberFormat="1" applyFont="1" applyFill="1" applyBorder="1" applyAlignment="1">
      <alignment vertical="top" wrapText="1"/>
    </xf>
    <xf numFmtId="4" fontId="22" fillId="3" borderId="7" xfId="0" applyNumberFormat="1" applyFont="1" applyFill="1" applyBorder="1" applyAlignment="1">
      <alignment horizontal="right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vertical="top" wrapText="1"/>
    </xf>
    <xf numFmtId="4" fontId="23" fillId="3" borderId="7" xfId="0" applyNumberFormat="1" applyFont="1" applyFill="1" applyBorder="1" applyAlignment="1">
      <alignment horizontal="right" vertical="top" wrapText="1"/>
    </xf>
    <xf numFmtId="4" fontId="19" fillId="2" borderId="7" xfId="0" applyNumberFormat="1" applyFont="1" applyFill="1" applyBorder="1" applyAlignment="1">
      <alignment horizontal="right" vertical="top" wrapText="1"/>
    </xf>
    <xf numFmtId="0" fontId="10" fillId="4" borderId="5" xfId="0" applyFont="1" applyFill="1" applyBorder="1" applyAlignment="1">
      <alignment horizontal="right" vertical="top" wrapText="1"/>
    </xf>
    <xf numFmtId="4" fontId="10" fillId="4" borderId="5" xfId="0" applyNumberFormat="1" applyFont="1" applyFill="1" applyBorder="1" applyAlignment="1">
      <alignment horizontal="right" vertical="top" wrapText="1"/>
    </xf>
    <xf numFmtId="0" fontId="10" fillId="4" borderId="0" xfId="0" applyFont="1" applyFill="1" applyAlignment="1">
      <alignment horizontal="right" vertical="top" wrapText="1"/>
    </xf>
    <xf numFmtId="4" fontId="10" fillId="4" borderId="0" xfId="0" applyNumberFormat="1" applyFont="1" applyFill="1" applyAlignment="1">
      <alignment horizontal="right" vertical="top" wrapText="1"/>
    </xf>
    <xf numFmtId="0" fontId="12" fillId="5" borderId="0" xfId="0" applyFont="1" applyFill="1" applyAlignment="1">
      <alignment vertical="top" wrapText="1"/>
    </xf>
    <xf numFmtId="4" fontId="3" fillId="5" borderId="0" xfId="0" applyNumberFormat="1" applyFont="1" applyFill="1" applyAlignment="1">
      <alignment vertical="top" wrapText="1"/>
    </xf>
    <xf numFmtId="4" fontId="17" fillId="3" borderId="7" xfId="0" applyNumberFormat="1" applyFont="1" applyFill="1" applyBorder="1" applyAlignment="1">
      <alignment horizontal="right" vertical="top" wrapText="1"/>
    </xf>
    <xf numFmtId="4" fontId="10" fillId="4" borderId="0" xfId="0" applyNumberFormat="1" applyFont="1" applyFill="1" applyAlignment="1">
      <alignment horizontal="right" vertical="top" wrapText="1"/>
    </xf>
    <xf numFmtId="0" fontId="13" fillId="4" borderId="3" xfId="0" applyFont="1" applyFill="1" applyBorder="1" applyAlignment="1">
      <alignment horizontal="right" vertical="top" wrapText="1"/>
    </xf>
    <xf numFmtId="4" fontId="24" fillId="4" borderId="5" xfId="0" applyNumberFormat="1" applyFont="1" applyFill="1" applyBorder="1" applyAlignment="1">
      <alignment horizontal="right" vertical="top" wrapText="1"/>
    </xf>
    <xf numFmtId="4" fontId="24" fillId="4" borderId="18" xfId="0" applyNumberFormat="1" applyFont="1" applyFill="1" applyBorder="1" applyAlignment="1">
      <alignment horizontal="right" vertical="top" wrapText="1"/>
    </xf>
    <xf numFmtId="4" fontId="16" fillId="2" borderId="7" xfId="0" applyNumberFormat="1" applyFont="1" applyFill="1" applyBorder="1" applyAlignment="1">
      <alignment horizontal="right" vertical="top" wrapText="1"/>
    </xf>
    <xf numFmtId="4" fontId="16" fillId="2" borderId="7" xfId="0" applyNumberFormat="1" applyFont="1" applyFill="1" applyBorder="1" applyAlignment="1">
      <alignment horizontal="left" vertical="top" wrapText="1"/>
    </xf>
    <xf numFmtId="10" fontId="19" fillId="2" borderId="7" xfId="0" applyNumberFormat="1" applyFont="1" applyFill="1" applyBorder="1" applyAlignment="1">
      <alignment horizontal="right" vertical="top" wrapText="1"/>
    </xf>
    <xf numFmtId="0" fontId="25" fillId="5" borderId="0" xfId="0" applyFont="1" applyFill="1" applyAlignment="1">
      <alignment wrapText="1"/>
    </xf>
    <xf numFmtId="0" fontId="7" fillId="7" borderId="3" xfId="0" applyFont="1" applyFill="1" applyBorder="1" applyAlignment="1">
      <alignment horizontal="left" vertical="top" wrapText="1"/>
    </xf>
    <xf numFmtId="4" fontId="10" fillId="4" borderId="18" xfId="0" applyNumberFormat="1" applyFont="1" applyFill="1" applyBorder="1" applyAlignment="1">
      <alignment horizontal="right" vertical="top" wrapText="1"/>
    </xf>
    <xf numFmtId="9" fontId="24" fillId="4" borderId="5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vertical="top" wrapText="1"/>
    </xf>
    <xf numFmtId="0" fontId="18" fillId="4" borderId="4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4" fontId="24" fillId="6" borderId="4" xfId="0" applyNumberFormat="1" applyFont="1" applyFill="1" applyBorder="1" applyAlignment="1">
      <alignment horizontal="right" vertical="top" wrapText="1"/>
    </xf>
    <xf numFmtId="10" fontId="18" fillId="4" borderId="4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vertical="top" wrapText="1"/>
    </xf>
    <xf numFmtId="0" fontId="14" fillId="2" borderId="9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left" vertical="top" wrapText="1"/>
    </xf>
    <xf numFmtId="4" fontId="26" fillId="3" borderId="7" xfId="0" applyNumberFormat="1" applyFont="1" applyFill="1" applyBorder="1" applyAlignment="1">
      <alignment horizontal="right" vertical="top" wrapText="1"/>
    </xf>
    <xf numFmtId="4" fontId="10" fillId="3" borderId="7" xfId="0" applyNumberFormat="1" applyFont="1" applyFill="1" applyBorder="1" applyAlignment="1">
      <alignment horizontal="right" vertical="top" wrapText="1"/>
    </xf>
    <xf numFmtId="0" fontId="18" fillId="6" borderId="19" xfId="0" applyFont="1" applyFill="1" applyBorder="1" applyAlignment="1">
      <alignment horizontal="left" vertical="top" wrapText="1"/>
    </xf>
    <xf numFmtId="10" fontId="16" fillId="6" borderId="19" xfId="0" applyNumberFormat="1" applyFont="1" applyFill="1" applyBorder="1" applyAlignment="1">
      <alignment horizontal="right" vertical="top" wrapText="1"/>
    </xf>
    <xf numFmtId="4" fontId="16" fillId="6" borderId="20" xfId="0" applyNumberFormat="1" applyFont="1" applyFill="1" applyBorder="1" applyAlignment="1">
      <alignment horizontal="right" vertical="top" wrapText="1"/>
    </xf>
    <xf numFmtId="4" fontId="10" fillId="6" borderId="21" xfId="0" applyNumberFormat="1" applyFont="1" applyFill="1" applyBorder="1" applyAlignment="1">
      <alignment horizontal="right" vertical="top" wrapText="1"/>
    </xf>
    <xf numFmtId="0" fontId="10" fillId="4" borderId="22" xfId="0" applyFont="1" applyFill="1" applyBorder="1" applyAlignment="1">
      <alignment horizontal="left" vertical="top" wrapText="1"/>
    </xf>
    <xf numFmtId="10" fontId="16" fillId="6" borderId="22" xfId="0" applyNumberFormat="1" applyFont="1" applyFill="1" applyBorder="1" applyAlignment="1">
      <alignment horizontal="right" vertical="top" wrapText="1"/>
    </xf>
    <xf numFmtId="4" fontId="10" fillId="6" borderId="20" xfId="0" applyNumberFormat="1" applyFont="1" applyFill="1" applyBorder="1" applyAlignment="1">
      <alignment horizontal="right" vertical="top" wrapText="1"/>
    </xf>
    <xf numFmtId="4" fontId="10" fillId="4" borderId="23" xfId="0" applyNumberFormat="1" applyFont="1" applyFill="1" applyBorder="1" applyAlignment="1">
      <alignment horizontal="right" vertical="top" wrapText="1"/>
    </xf>
    <xf numFmtId="0" fontId="18" fillId="6" borderId="22" xfId="0" applyFont="1" applyFill="1" applyBorder="1" applyAlignment="1">
      <alignment horizontal="left" vertical="top" wrapText="1"/>
    </xf>
    <xf numFmtId="0" fontId="18" fillId="4" borderId="0" xfId="0" applyFont="1" applyFill="1" applyAlignment="1">
      <alignment horizontal="right" vertical="top" wrapText="1"/>
    </xf>
    <xf numFmtId="4" fontId="24" fillId="6" borderId="20" xfId="0" applyNumberFormat="1" applyFont="1" applyFill="1" applyBorder="1" applyAlignment="1">
      <alignment horizontal="right" vertical="top" wrapText="1"/>
    </xf>
    <xf numFmtId="4" fontId="18" fillId="4" borderId="20" xfId="0" applyNumberFormat="1" applyFont="1" applyFill="1" applyBorder="1" applyAlignment="1">
      <alignment horizontal="right" vertical="top" wrapText="1"/>
    </xf>
    <xf numFmtId="0" fontId="27" fillId="4" borderId="0" xfId="0" applyFont="1" applyFill="1" applyAlignment="1">
      <alignment horizontal="left" vertical="top" wrapText="1"/>
    </xf>
    <xf numFmtId="4" fontId="28" fillId="6" borderId="20" xfId="0" applyNumberFormat="1" applyFont="1" applyFill="1" applyBorder="1" applyAlignment="1">
      <alignment horizontal="right" vertical="top" wrapText="1"/>
    </xf>
    <xf numFmtId="4" fontId="27" fillId="4" borderId="20" xfId="0" applyNumberFormat="1" applyFont="1" applyFill="1" applyBorder="1" applyAlignment="1">
      <alignment horizontal="right" vertical="top" wrapText="1"/>
    </xf>
    <xf numFmtId="4" fontId="29" fillId="3" borderId="24" xfId="0" applyNumberFormat="1" applyFont="1" applyFill="1" applyBorder="1" applyAlignment="1">
      <alignment horizontal="right" vertical="top" wrapText="1"/>
    </xf>
    <xf numFmtId="4" fontId="30" fillId="3" borderId="13" xfId="0" applyNumberFormat="1" applyFont="1" applyFill="1" applyBorder="1" applyAlignment="1">
      <alignment horizontal="right" vertical="top" wrapText="1"/>
    </xf>
    <xf numFmtId="0" fontId="31" fillId="4" borderId="0" xfId="0" applyFont="1" applyFill="1" applyAlignment="1">
      <alignment horizontal="right" vertical="top" wrapText="1"/>
    </xf>
    <xf numFmtId="0" fontId="23" fillId="3" borderId="0" xfId="0" applyFont="1" applyFill="1" applyAlignment="1">
      <alignment horizontal="left" vertical="top" wrapText="1"/>
    </xf>
    <xf numFmtId="4" fontId="26" fillId="3" borderId="0" xfId="0" applyNumberFormat="1" applyFont="1" applyFill="1" applyAlignment="1">
      <alignment horizontal="right" vertical="top" wrapText="1"/>
    </xf>
    <xf numFmtId="10" fontId="3" fillId="5" borderId="0" xfId="0" applyNumberFormat="1" applyFont="1" applyFill="1" applyAlignment="1">
      <alignment vertical="top" wrapText="1"/>
    </xf>
    <xf numFmtId="4" fontId="12" fillId="5" borderId="0" xfId="0" applyNumberFormat="1" applyFont="1" applyFill="1" applyAlignment="1">
      <alignment vertical="top" wrapText="1"/>
    </xf>
    <xf numFmtId="0" fontId="17" fillId="2" borderId="7" xfId="0" applyFont="1" applyFill="1" applyBorder="1" applyAlignment="1">
      <alignment horizontal="left" vertical="top" wrapText="1"/>
    </xf>
    <xf numFmtId="4" fontId="24" fillId="2" borderId="7" xfId="0" applyNumberFormat="1" applyFont="1" applyFill="1" applyBorder="1" applyAlignment="1">
      <alignment horizontal="right" vertical="top" wrapText="1"/>
    </xf>
    <xf numFmtId="0" fontId="10" fillId="4" borderId="22" xfId="0" applyFont="1" applyFill="1" applyBorder="1" applyAlignment="1">
      <alignment horizontal="right" vertical="top" wrapText="1"/>
    </xf>
    <xf numFmtId="10" fontId="18" fillId="6" borderId="22" xfId="0" applyNumberFormat="1" applyFont="1" applyFill="1" applyBorder="1" applyAlignment="1">
      <alignment horizontal="right" vertical="top" wrapText="1"/>
    </xf>
    <xf numFmtId="10" fontId="16" fillId="2" borderId="7" xfId="0" applyNumberFormat="1" applyFont="1" applyFill="1" applyBorder="1" applyAlignment="1">
      <alignment horizontal="right" vertical="top" wrapText="1"/>
    </xf>
    <xf numFmtId="0" fontId="16" fillId="3" borderId="7" xfId="0" applyFont="1" applyFill="1" applyBorder="1" applyAlignment="1">
      <alignment horizontal="right" vertical="top" wrapText="1"/>
    </xf>
    <xf numFmtId="10" fontId="16" fillId="3" borderId="7" xfId="0" applyNumberFormat="1" applyFont="1" applyFill="1" applyBorder="1" applyAlignment="1">
      <alignment horizontal="right" vertical="top" wrapText="1"/>
    </xf>
    <xf numFmtId="4" fontId="16" fillId="3" borderId="7" xfId="0" applyNumberFormat="1" applyFont="1" applyFill="1" applyBorder="1" applyAlignment="1">
      <alignment horizontal="right" vertical="top" wrapText="1"/>
    </xf>
    <xf numFmtId="4" fontId="24" fillId="3" borderId="7" xfId="0" applyNumberFormat="1" applyFont="1" applyFill="1" applyBorder="1" applyAlignment="1">
      <alignment horizontal="right" vertical="top" wrapText="1"/>
    </xf>
    <xf numFmtId="0" fontId="18" fillId="6" borderId="22" xfId="0" applyFont="1" applyFill="1" applyBorder="1" applyAlignment="1">
      <alignment horizontal="right" vertical="top" wrapText="1"/>
    </xf>
    <xf numFmtId="0" fontId="24" fillId="4" borderId="22" xfId="0" applyFont="1" applyFill="1" applyBorder="1" applyAlignment="1">
      <alignment horizontal="right" vertical="top" wrapText="1"/>
    </xf>
    <xf numFmtId="10" fontId="19" fillId="6" borderId="22" xfId="0" applyNumberFormat="1" applyFont="1" applyFill="1" applyBorder="1" applyAlignment="1">
      <alignment horizontal="right" vertical="top" wrapText="1"/>
    </xf>
    <xf numFmtId="0" fontId="17" fillId="3" borderId="7" xfId="0" applyFont="1" applyFill="1" applyBorder="1" applyAlignment="1">
      <alignment horizontal="right" vertical="top" wrapText="1"/>
    </xf>
    <xf numFmtId="4" fontId="17" fillId="6" borderId="20" xfId="0" applyNumberFormat="1" applyFont="1" applyFill="1" applyBorder="1" applyAlignment="1">
      <alignment horizontal="right" vertical="top" wrapText="1"/>
    </xf>
    <xf numFmtId="0" fontId="32" fillId="3" borderId="7" xfId="0" applyFont="1" applyFill="1" applyBorder="1" applyAlignment="1">
      <alignment horizontal="right" vertical="top" wrapText="1"/>
    </xf>
    <xf numFmtId="0" fontId="20" fillId="2" borderId="7" xfId="0" applyFont="1" applyFill="1" applyBorder="1" applyAlignment="1">
      <alignment horizontal="right" vertical="top" wrapText="1"/>
    </xf>
    <xf numFmtId="10" fontId="20" fillId="2" borderId="7" xfId="0" applyNumberFormat="1" applyFont="1" applyFill="1" applyBorder="1" applyAlignment="1">
      <alignment horizontal="right" vertical="top" wrapText="1"/>
    </xf>
    <xf numFmtId="4" fontId="20" fillId="2" borderId="7" xfId="0" applyNumberFormat="1" applyFont="1" applyFill="1" applyBorder="1" applyAlignment="1">
      <alignment horizontal="right" vertical="top" wrapText="1"/>
    </xf>
    <xf numFmtId="0" fontId="17" fillId="3" borderId="7" xfId="0" applyFont="1" applyFill="1" applyBorder="1" applyAlignment="1">
      <alignment horizontal="left" vertical="top" wrapText="1"/>
    </xf>
    <xf numFmtId="4" fontId="17" fillId="2" borderId="7" xfId="0" applyNumberFormat="1" applyFont="1" applyFill="1" applyBorder="1" applyAlignment="1">
      <alignment horizontal="right" vertical="top" wrapText="1"/>
    </xf>
    <xf numFmtId="0" fontId="33" fillId="5" borderId="0" xfId="0" applyFont="1" applyFill="1" applyAlignment="1">
      <alignment vertical="top" wrapText="1"/>
    </xf>
    <xf numFmtId="4" fontId="33" fillId="5" borderId="0" xfId="0" applyNumberFormat="1" applyFont="1" applyFill="1" applyAlignment="1">
      <alignment vertical="top" wrapText="1"/>
    </xf>
    <xf numFmtId="0" fontId="33" fillId="5" borderId="0" xfId="0" applyFont="1" applyFill="1" applyAlignment="1">
      <alignment vertical="top" wrapText="1"/>
    </xf>
    <xf numFmtId="0" fontId="13" fillId="4" borderId="0" xfId="0" applyFont="1" applyFill="1" applyAlignment="1">
      <alignment horizontal="left"/>
    </xf>
    <xf numFmtId="4" fontId="24" fillId="6" borderId="12" xfId="0" applyNumberFormat="1" applyFont="1" applyFill="1" applyBorder="1" applyAlignment="1">
      <alignment horizontal="right" vertical="top" wrapText="1"/>
    </xf>
    <xf numFmtId="4" fontId="24" fillId="4" borderId="25" xfId="0" applyNumberFormat="1" applyFont="1" applyFill="1" applyBorder="1" applyAlignment="1">
      <alignment horizontal="right" vertical="top" wrapText="1"/>
    </xf>
    <xf numFmtId="4" fontId="34" fillId="0" borderId="25" xfId="0" applyNumberFormat="1" applyFont="1" applyBorder="1"/>
    <xf numFmtId="0" fontId="18" fillId="6" borderId="0" xfId="0" applyFont="1" applyFill="1" applyAlignment="1">
      <alignment horizontal="left" vertical="top" wrapText="1"/>
    </xf>
    <xf numFmtId="10" fontId="16" fillId="6" borderId="20" xfId="0" applyNumberFormat="1" applyFont="1" applyFill="1" applyBorder="1" applyAlignment="1">
      <alignment horizontal="right" vertical="top" wrapText="1"/>
    </xf>
    <xf numFmtId="10" fontId="10" fillId="6" borderId="0" xfId="0" applyNumberFormat="1" applyFont="1" applyFill="1" applyAlignment="1">
      <alignment horizontal="right" vertical="top" wrapText="1"/>
    </xf>
    <xf numFmtId="0" fontId="36" fillId="5" borderId="0" xfId="0" applyFont="1" applyFill="1"/>
    <xf numFmtId="0" fontId="35" fillId="3" borderId="0" xfId="0" applyFont="1" applyFill="1" applyAlignment="1"/>
    <xf numFmtId="49" fontId="37" fillId="3" borderId="0" xfId="0" applyNumberFormat="1" applyFont="1" applyFill="1" applyAlignment="1"/>
    <xf numFmtId="0" fontId="37" fillId="3" borderId="0" xfId="0" applyFont="1" applyFill="1" applyAlignment="1"/>
    <xf numFmtId="0" fontId="36" fillId="6" borderId="0" xfId="0" applyFont="1" applyFill="1" applyAlignment="1"/>
    <xf numFmtId="0" fontId="36" fillId="5" borderId="0" xfId="0" applyFont="1" applyFill="1" applyAlignment="1"/>
    <xf numFmtId="168" fontId="18" fillId="4" borderId="4" xfId="0" applyNumberFormat="1" applyFont="1" applyFill="1" applyBorder="1" applyAlignment="1">
      <alignment horizontal="right" vertical="top" wrapText="1"/>
    </xf>
    <xf numFmtId="169" fontId="36" fillId="4" borderId="0" xfId="0" applyNumberFormat="1" applyFont="1" applyFill="1" applyAlignment="1"/>
    <xf numFmtId="168" fontId="38" fillId="3" borderId="0" xfId="0" applyNumberFormat="1" applyFont="1" applyFill="1"/>
    <xf numFmtId="0" fontId="5" fillId="3" borderId="14" xfId="0" applyFont="1" applyFill="1" applyBorder="1" applyAlignment="1">
      <alignment vertical="top" wrapText="1"/>
    </xf>
    <xf numFmtId="0" fontId="15" fillId="0" borderId="15" xfId="0" applyFont="1" applyBorder="1"/>
    <xf numFmtId="0" fontId="1" fillId="2" borderId="8" xfId="0" applyFont="1" applyFill="1" applyBorder="1" applyAlignment="1">
      <alignment horizontal="center" vertical="top" wrapText="1"/>
    </xf>
    <xf numFmtId="0" fontId="15" fillId="0" borderId="13" xfId="0" applyFont="1" applyBorder="1"/>
    <xf numFmtId="0" fontId="7" fillId="7" borderId="16" xfId="0" applyFont="1" applyFill="1" applyBorder="1" applyAlignment="1">
      <alignment horizontal="left" vertical="top" wrapText="1"/>
    </xf>
    <xf numFmtId="0" fontId="15" fillId="0" borderId="17" xfId="0" applyFont="1" applyBorder="1"/>
    <xf numFmtId="0" fontId="14" fillId="2" borderId="8" xfId="0" applyFont="1" applyFill="1" applyBorder="1" applyAlignment="1">
      <alignment horizontal="center" vertical="top" wrapText="1"/>
    </xf>
    <xf numFmtId="0" fontId="15" fillId="0" borderId="9" xfId="0" applyFont="1" applyBorder="1"/>
    <xf numFmtId="0" fontId="1" fillId="2" borderId="0" xfId="0" applyFont="1" applyFill="1" applyAlignment="1">
      <alignment horizontal="center" vertical="top" wrapText="1"/>
    </xf>
    <xf numFmtId="0" fontId="0" fillId="0" borderId="0" xfId="0" applyFont="1" applyAlignment="1"/>
    <xf numFmtId="0" fontId="1" fillId="2" borderId="0" xfId="0" applyFont="1" applyFill="1" applyAlignment="1">
      <alignment horizontal="left" vertical="top" wrapText="1"/>
    </xf>
    <xf numFmtId="0" fontId="35" fillId="2" borderId="0" xfId="0" applyFont="1" applyFill="1" applyAlignment="1"/>
  </cellXfs>
  <cellStyles count="1">
    <cellStyle name="Обычный" xfId="0" builtinId="0"/>
  </cellStyles>
  <dxfs count="4">
    <dxf>
      <fill>
        <patternFill patternType="solid">
          <fgColor rgb="FF32384D"/>
          <bgColor rgb="FF32384D"/>
        </patternFill>
      </fill>
    </dxf>
    <dxf>
      <fill>
        <patternFill patternType="solid">
          <fgColor rgb="FF32384D"/>
          <bgColor rgb="FF32384D"/>
        </patternFill>
      </fill>
    </dxf>
    <dxf>
      <fill>
        <patternFill patternType="solid">
          <fgColor rgb="FF32384D"/>
          <bgColor rgb="FF32384D"/>
        </patternFill>
      </fill>
    </dxf>
    <dxf>
      <fill>
        <patternFill patternType="solid">
          <fgColor rgb="FF32384D"/>
          <bgColor rgb="FF32384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6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outlinePr summaryBelow="0" summaryRight="0"/>
  </sheetPr>
  <dimension ref="A1:AD984"/>
  <sheetViews>
    <sheetView workbookViewId="0"/>
  </sheetViews>
  <sheetFormatPr defaultColWidth="12.5390625" defaultRowHeight="15.75" customHeight="1" outlineLevelCol="1" x14ac:dyDescent="0.15"/>
  <cols>
    <col min="1" max="1" width="41.3984375" customWidth="1"/>
    <col min="2" max="2" width="20.08984375" customWidth="1"/>
    <col min="3" max="5" width="16.31640625" customWidth="1" outlineLevel="1"/>
    <col min="6" max="6" width="16.31640625" customWidth="1"/>
    <col min="7" max="7" width="13.078125" customWidth="1" outlineLevel="1"/>
    <col min="8" max="8" width="11.8671875" customWidth="1" outlineLevel="1"/>
    <col min="9" max="9" width="16.1796875" customWidth="1" outlineLevel="1"/>
    <col min="10" max="10" width="13.6171875" customWidth="1" outlineLevel="1"/>
    <col min="11" max="11" width="16.31640625" hidden="1" customWidth="1" collapsed="1"/>
    <col min="12" max="13" width="16.31640625" hidden="1" customWidth="1" outlineLevel="1"/>
    <col min="14" max="14" width="17.39453125" hidden="1" customWidth="1" outlineLevel="1"/>
  </cols>
  <sheetData>
    <row r="1" spans="1:30" ht="30.75" customHeight="1" x14ac:dyDescent="0.4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54" x14ac:dyDescent="0.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2</v>
      </c>
      <c r="L2" s="7" t="s">
        <v>11</v>
      </c>
      <c r="M2" s="7" t="s">
        <v>12</v>
      </c>
      <c r="N2" s="7" t="s">
        <v>13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5" x14ac:dyDescent="0.3">
      <c r="A3" s="8" t="s">
        <v>14</v>
      </c>
      <c r="B3" s="9" t="s">
        <v>15</v>
      </c>
      <c r="C3" s="10">
        <v>47910</v>
      </c>
      <c r="D3" s="11" t="str">
        <f>'ДАННЫЕ СПРАВОЧНЫЕ'!A3</f>
        <v>Wildberries</v>
      </c>
      <c r="E3" s="12" t="s">
        <v>16</v>
      </c>
      <c r="F3" s="10" t="s">
        <v>17</v>
      </c>
      <c r="G3" s="13">
        <v>0.04</v>
      </c>
      <c r="H3" s="13">
        <v>0.12</v>
      </c>
      <c r="I3" s="13">
        <v>0.31</v>
      </c>
      <c r="J3" s="14">
        <f>600000*3450</f>
        <v>2070000000</v>
      </c>
      <c r="K3" s="15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7.25" x14ac:dyDescent="0.15">
      <c r="A4" s="4"/>
      <c r="B4" s="4"/>
      <c r="C4" s="4"/>
      <c r="D4" s="4"/>
      <c r="E4" s="1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7.25" x14ac:dyDescent="0.15">
      <c r="A5" s="4"/>
      <c r="B5" s="4"/>
      <c r="C5" s="4"/>
      <c r="D5" s="4"/>
      <c r="E5" s="1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7.25" x14ac:dyDescent="0.15">
      <c r="A6" s="4"/>
      <c r="B6" s="4"/>
      <c r="C6" s="4"/>
      <c r="D6" s="4"/>
      <c r="E6" s="17"/>
      <c r="F6" s="4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7.25" x14ac:dyDescent="0.15">
      <c r="A7" s="4"/>
      <c r="B7" s="4"/>
      <c r="C7" s="4"/>
      <c r="D7" s="4"/>
      <c r="E7" s="17"/>
      <c r="F7" s="4"/>
      <c r="G7" s="1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7.25" x14ac:dyDescent="0.15">
      <c r="A8" s="4"/>
      <c r="B8" s="4"/>
      <c r="C8" s="4"/>
      <c r="D8" s="4"/>
      <c r="E8" s="17"/>
      <c r="F8" s="4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7.25" x14ac:dyDescent="0.15">
      <c r="A9" s="4"/>
      <c r="B9" s="4"/>
      <c r="C9" s="4"/>
      <c r="D9" s="4"/>
      <c r="E9" s="1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7.25" x14ac:dyDescent="0.15">
      <c r="A10" s="4"/>
      <c r="B10" s="4"/>
      <c r="C10" s="4"/>
      <c r="D10" s="4"/>
      <c r="E10" s="1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7.25" x14ac:dyDescent="0.15">
      <c r="A11" s="4"/>
      <c r="B11" s="4"/>
      <c r="C11" s="4"/>
      <c r="D11" s="4"/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7.25" x14ac:dyDescent="0.15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7.25" x14ac:dyDescent="0.15">
      <c r="A13" s="4"/>
      <c r="B13" s="4"/>
      <c r="C13" s="4"/>
      <c r="D13" s="4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7.25" x14ac:dyDescent="0.15">
      <c r="A14" s="4"/>
      <c r="B14" s="4"/>
      <c r="C14" s="4"/>
      <c r="D14" s="4"/>
      <c r="E14" s="1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7.25" x14ac:dyDescent="0.15">
      <c r="A15" s="4"/>
      <c r="B15" s="4"/>
      <c r="C15" s="4"/>
      <c r="D15" s="4"/>
      <c r="E15" s="1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7.25" x14ac:dyDescent="0.15">
      <c r="A16" s="4"/>
      <c r="B16" s="4"/>
      <c r="C16" s="4"/>
      <c r="D16" s="4"/>
      <c r="E16" s="1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7.25" x14ac:dyDescent="0.15">
      <c r="A17" s="4"/>
      <c r="B17" s="4"/>
      <c r="C17" s="4"/>
      <c r="D17" s="4"/>
      <c r="E17" s="1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7.25" x14ac:dyDescent="0.15">
      <c r="A18" s="4"/>
      <c r="B18" s="4"/>
      <c r="C18" s="4"/>
      <c r="D18" s="4"/>
      <c r="E18" s="1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7.25" x14ac:dyDescent="0.15">
      <c r="A19" s="4"/>
      <c r="B19" s="4"/>
      <c r="C19" s="4"/>
      <c r="D19" s="4"/>
      <c r="E19" s="1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7.25" x14ac:dyDescent="0.15">
      <c r="A20" s="4"/>
      <c r="B20" s="4"/>
      <c r="C20" s="4"/>
      <c r="D20" s="4"/>
      <c r="E20" s="1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7.25" x14ac:dyDescent="0.15">
      <c r="A21" s="4"/>
      <c r="B21" s="4"/>
      <c r="C21" s="4"/>
      <c r="D21" s="4"/>
      <c r="E21" s="1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7.25" x14ac:dyDescent="0.15">
      <c r="A22" s="4"/>
      <c r="B22" s="4"/>
      <c r="C22" s="4"/>
      <c r="D22" s="4"/>
      <c r="E22" s="1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7.25" x14ac:dyDescent="0.15">
      <c r="A23" s="4"/>
      <c r="B23" s="4"/>
      <c r="C23" s="4"/>
      <c r="D23" s="4"/>
      <c r="E23" s="1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7.25" x14ac:dyDescent="0.15">
      <c r="A24" s="4"/>
      <c r="B24" s="4"/>
      <c r="C24" s="4"/>
      <c r="D24" s="4"/>
      <c r="E24" s="1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7.25" x14ac:dyDescent="0.15">
      <c r="A25" s="4"/>
      <c r="B25" s="4"/>
      <c r="C25" s="4"/>
      <c r="D25" s="4"/>
      <c r="E25" s="1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7.25" x14ac:dyDescent="0.15">
      <c r="A26" s="4"/>
      <c r="B26" s="4"/>
      <c r="C26" s="4"/>
      <c r="D26" s="4"/>
      <c r="E26" s="1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7.25" x14ac:dyDescent="0.15">
      <c r="A27" s="4"/>
      <c r="B27" s="4"/>
      <c r="C27" s="4"/>
      <c r="D27" s="4"/>
      <c r="E27" s="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7.25" x14ac:dyDescent="0.15">
      <c r="A28" s="4"/>
      <c r="B28" s="4"/>
      <c r="C28" s="4"/>
      <c r="D28" s="4"/>
      <c r="E28" s="1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7.25" x14ac:dyDescent="0.15">
      <c r="A29" s="4"/>
      <c r="B29" s="4"/>
      <c r="C29" s="4"/>
      <c r="D29" s="4"/>
      <c r="E29" s="1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7.25" x14ac:dyDescent="0.15">
      <c r="A30" s="4"/>
      <c r="B30" s="4"/>
      <c r="C30" s="4"/>
      <c r="D30" s="4"/>
      <c r="E30" s="1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7.25" x14ac:dyDescent="0.15">
      <c r="A31" s="4"/>
      <c r="B31" s="4"/>
      <c r="C31" s="4"/>
      <c r="D31" s="4"/>
      <c r="E31" s="1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7.25" x14ac:dyDescent="0.15">
      <c r="A32" s="4"/>
      <c r="B32" s="4"/>
      <c r="C32" s="4"/>
      <c r="D32" s="4"/>
      <c r="E32" s="1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7.25" x14ac:dyDescent="0.15">
      <c r="A33" s="4"/>
      <c r="B33" s="4"/>
      <c r="C33" s="4"/>
      <c r="D33" s="4"/>
      <c r="E33" s="1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7.25" x14ac:dyDescent="0.15">
      <c r="A34" s="4"/>
      <c r="B34" s="4"/>
      <c r="C34" s="4"/>
      <c r="D34" s="4"/>
      <c r="E34" s="1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7.25" x14ac:dyDescent="0.15">
      <c r="A35" s="4"/>
      <c r="B35" s="4"/>
      <c r="C35" s="4"/>
      <c r="D35" s="4"/>
      <c r="E35" s="1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7.25" x14ac:dyDescent="0.15">
      <c r="A36" s="4"/>
      <c r="B36" s="4"/>
      <c r="C36" s="4"/>
      <c r="D36" s="4"/>
      <c r="E36" s="1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7.25" x14ac:dyDescent="0.15">
      <c r="A37" s="4"/>
      <c r="B37" s="4"/>
      <c r="C37" s="4"/>
      <c r="D37" s="4"/>
      <c r="E37" s="1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7.25" x14ac:dyDescent="0.15">
      <c r="A38" s="4"/>
      <c r="B38" s="4"/>
      <c r="C38" s="4"/>
      <c r="D38" s="4"/>
      <c r="E38" s="1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7.25" x14ac:dyDescent="0.15">
      <c r="A39" s="4"/>
      <c r="B39" s="4"/>
      <c r="C39" s="4"/>
      <c r="D39" s="4"/>
      <c r="E39" s="1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7.25" x14ac:dyDescent="0.15">
      <c r="A40" s="4"/>
      <c r="B40" s="4"/>
      <c r="C40" s="4"/>
      <c r="D40" s="4"/>
      <c r="E40" s="1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7.25" x14ac:dyDescent="0.15">
      <c r="A41" s="4"/>
      <c r="B41" s="4"/>
      <c r="C41" s="4"/>
      <c r="D41" s="4"/>
      <c r="E41" s="1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7.25" x14ac:dyDescent="0.15">
      <c r="A42" s="4"/>
      <c r="B42" s="4"/>
      <c r="C42" s="4"/>
      <c r="D42" s="4"/>
      <c r="E42" s="1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7.25" x14ac:dyDescent="0.15">
      <c r="A43" s="4"/>
      <c r="B43" s="4"/>
      <c r="C43" s="4"/>
      <c r="D43" s="4"/>
      <c r="E43" s="1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7.25" x14ac:dyDescent="0.15">
      <c r="A44" s="4"/>
      <c r="B44" s="4"/>
      <c r="C44" s="4"/>
      <c r="D44" s="4"/>
      <c r="E44" s="1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7.25" x14ac:dyDescent="0.15">
      <c r="A45" s="4"/>
      <c r="B45" s="4"/>
      <c r="C45" s="4"/>
      <c r="D45" s="4"/>
      <c r="E45" s="1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7.25" x14ac:dyDescent="0.15">
      <c r="A46" s="4"/>
      <c r="B46" s="4"/>
      <c r="C46" s="4"/>
      <c r="D46" s="4"/>
      <c r="E46" s="1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7.25" x14ac:dyDescent="0.15">
      <c r="A47" s="4"/>
      <c r="B47" s="4"/>
      <c r="C47" s="4"/>
      <c r="D47" s="4"/>
      <c r="E47" s="1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7.25" x14ac:dyDescent="0.15">
      <c r="A48" s="4"/>
      <c r="B48" s="4"/>
      <c r="C48" s="4"/>
      <c r="D48" s="4"/>
      <c r="E48" s="1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7.25" x14ac:dyDescent="0.15">
      <c r="A49" s="4"/>
      <c r="B49" s="4"/>
      <c r="C49" s="4"/>
      <c r="D49" s="4"/>
      <c r="E49" s="1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7.25" x14ac:dyDescent="0.15">
      <c r="A50" s="4"/>
      <c r="B50" s="4"/>
      <c r="C50" s="4"/>
      <c r="D50" s="4"/>
      <c r="E50" s="1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7.25" x14ac:dyDescent="0.15">
      <c r="A51" s="4"/>
      <c r="B51" s="4"/>
      <c r="C51" s="4"/>
      <c r="D51" s="4"/>
      <c r="E51" s="1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7.25" x14ac:dyDescent="0.15">
      <c r="A52" s="4"/>
      <c r="B52" s="4"/>
      <c r="C52" s="4"/>
      <c r="D52" s="4"/>
      <c r="E52" s="1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7.25" x14ac:dyDescent="0.15">
      <c r="A53" s="4"/>
      <c r="B53" s="4"/>
      <c r="C53" s="4"/>
      <c r="D53" s="4"/>
      <c r="E53" s="1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7.25" x14ac:dyDescent="0.15">
      <c r="A54" s="4"/>
      <c r="B54" s="4"/>
      <c r="C54" s="4"/>
      <c r="D54" s="4"/>
      <c r="E54" s="1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7.25" x14ac:dyDescent="0.15">
      <c r="A55" s="4"/>
      <c r="B55" s="4"/>
      <c r="C55" s="4"/>
      <c r="D55" s="4"/>
      <c r="E55" s="1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7.25" x14ac:dyDescent="0.15">
      <c r="A56" s="4"/>
      <c r="B56" s="4"/>
      <c r="C56" s="4"/>
      <c r="D56" s="4"/>
      <c r="E56" s="1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7.25" x14ac:dyDescent="0.15">
      <c r="A57" s="4"/>
      <c r="B57" s="4"/>
      <c r="C57" s="4"/>
      <c r="D57" s="4"/>
      <c r="E57" s="1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7.25" x14ac:dyDescent="0.15">
      <c r="A58" s="4"/>
      <c r="B58" s="4"/>
      <c r="C58" s="4"/>
      <c r="D58" s="4"/>
      <c r="E58" s="1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7.25" x14ac:dyDescent="0.15">
      <c r="A59" s="4"/>
      <c r="B59" s="4"/>
      <c r="C59" s="4"/>
      <c r="D59" s="4"/>
      <c r="E59" s="1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7.25" x14ac:dyDescent="0.15">
      <c r="A60" s="4"/>
      <c r="B60" s="4"/>
      <c r="C60" s="4"/>
      <c r="D60" s="4"/>
      <c r="E60" s="1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7.25" x14ac:dyDescent="0.15">
      <c r="A61" s="4"/>
      <c r="B61" s="4"/>
      <c r="C61" s="4"/>
      <c r="D61" s="4"/>
      <c r="E61" s="1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7.25" x14ac:dyDescent="0.15">
      <c r="A62" s="4"/>
      <c r="B62" s="4"/>
      <c r="C62" s="4"/>
      <c r="D62" s="4"/>
      <c r="E62" s="1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7.25" x14ac:dyDescent="0.15">
      <c r="A63" s="4"/>
      <c r="B63" s="4"/>
      <c r="C63" s="4"/>
      <c r="D63" s="4"/>
      <c r="E63" s="1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7.25" x14ac:dyDescent="0.15">
      <c r="A64" s="4"/>
      <c r="B64" s="4"/>
      <c r="C64" s="4"/>
      <c r="D64" s="4"/>
      <c r="E64" s="1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7.25" x14ac:dyDescent="0.15">
      <c r="A65" s="4"/>
      <c r="B65" s="4"/>
      <c r="C65" s="4"/>
      <c r="D65" s="4"/>
      <c r="E65" s="17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7.25" x14ac:dyDescent="0.15">
      <c r="A66" s="4"/>
      <c r="B66" s="4"/>
      <c r="C66" s="4"/>
      <c r="D66" s="4"/>
      <c r="E66" s="1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7.25" x14ac:dyDescent="0.15">
      <c r="A67" s="4"/>
      <c r="B67" s="4"/>
      <c r="C67" s="4"/>
      <c r="D67" s="4"/>
      <c r="E67" s="17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7.25" x14ac:dyDescent="0.15">
      <c r="A68" s="4"/>
      <c r="B68" s="4"/>
      <c r="C68" s="4"/>
      <c r="D68" s="4"/>
      <c r="E68" s="17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7.25" x14ac:dyDescent="0.15">
      <c r="A69" s="4"/>
      <c r="B69" s="4"/>
      <c r="C69" s="4"/>
      <c r="D69" s="4"/>
      <c r="E69" s="1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7.25" x14ac:dyDescent="0.15">
      <c r="A70" s="4"/>
      <c r="B70" s="4"/>
      <c r="C70" s="4"/>
      <c r="D70" s="4"/>
      <c r="E70" s="17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7.25" x14ac:dyDescent="0.15">
      <c r="A71" s="4"/>
      <c r="B71" s="4"/>
      <c r="C71" s="4"/>
      <c r="D71" s="4"/>
      <c r="E71" s="1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7.25" x14ac:dyDescent="0.15">
      <c r="A72" s="4"/>
      <c r="B72" s="4"/>
      <c r="C72" s="4"/>
      <c r="D72" s="4"/>
      <c r="E72" s="1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7.25" x14ac:dyDescent="0.15">
      <c r="A73" s="4"/>
      <c r="B73" s="4"/>
      <c r="C73" s="4"/>
      <c r="D73" s="4"/>
      <c r="E73" s="17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7.25" x14ac:dyDescent="0.15">
      <c r="A74" s="4"/>
      <c r="B74" s="4"/>
      <c r="C74" s="4"/>
      <c r="D74" s="4"/>
      <c r="E74" s="17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7.25" x14ac:dyDescent="0.15">
      <c r="A75" s="4"/>
      <c r="B75" s="4"/>
      <c r="C75" s="4"/>
      <c r="D75" s="4"/>
      <c r="E75" s="17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7.25" x14ac:dyDescent="0.15">
      <c r="A76" s="4"/>
      <c r="B76" s="4"/>
      <c r="C76" s="4"/>
      <c r="D76" s="4"/>
      <c r="E76" s="1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7.25" x14ac:dyDescent="0.15">
      <c r="A77" s="4"/>
      <c r="B77" s="4"/>
      <c r="C77" s="4"/>
      <c r="D77" s="4"/>
      <c r="E77" s="17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7.25" x14ac:dyDescent="0.15">
      <c r="A78" s="4"/>
      <c r="B78" s="4"/>
      <c r="C78" s="4"/>
      <c r="D78" s="4"/>
      <c r="E78" s="1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7.25" x14ac:dyDescent="0.15">
      <c r="A79" s="4"/>
      <c r="B79" s="4"/>
      <c r="C79" s="4"/>
      <c r="D79" s="4"/>
      <c r="E79" s="1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7.25" x14ac:dyDescent="0.15">
      <c r="A80" s="4"/>
      <c r="B80" s="4"/>
      <c r="C80" s="4"/>
      <c r="D80" s="4"/>
      <c r="E80" s="17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7.25" x14ac:dyDescent="0.15">
      <c r="A81" s="4"/>
      <c r="B81" s="4"/>
      <c r="C81" s="4"/>
      <c r="D81" s="4"/>
      <c r="E81" s="1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7.25" x14ac:dyDescent="0.15">
      <c r="A82" s="4"/>
      <c r="B82" s="4"/>
      <c r="C82" s="4"/>
      <c r="D82" s="4"/>
      <c r="E82" s="1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7.25" x14ac:dyDescent="0.15">
      <c r="A83" s="4"/>
      <c r="B83" s="4"/>
      <c r="C83" s="4"/>
      <c r="D83" s="4"/>
      <c r="E83" s="1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7.25" x14ac:dyDescent="0.15">
      <c r="A84" s="4"/>
      <c r="B84" s="4"/>
      <c r="C84" s="4"/>
      <c r="D84" s="4"/>
      <c r="E84" s="17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7.25" x14ac:dyDescent="0.15">
      <c r="A85" s="4"/>
      <c r="B85" s="4"/>
      <c r="C85" s="4"/>
      <c r="D85" s="4"/>
      <c r="E85" s="17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7.25" x14ac:dyDescent="0.15">
      <c r="A86" s="4"/>
      <c r="B86" s="4"/>
      <c r="C86" s="4"/>
      <c r="D86" s="4"/>
      <c r="E86" s="17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7.25" x14ac:dyDescent="0.15">
      <c r="A87" s="4"/>
      <c r="B87" s="4"/>
      <c r="C87" s="4"/>
      <c r="D87" s="4"/>
      <c r="E87" s="17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7.25" x14ac:dyDescent="0.15">
      <c r="A88" s="4"/>
      <c r="B88" s="4"/>
      <c r="C88" s="4"/>
      <c r="D88" s="4"/>
      <c r="E88" s="17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7.25" x14ac:dyDescent="0.15">
      <c r="A89" s="4"/>
      <c r="B89" s="4"/>
      <c r="C89" s="4"/>
      <c r="D89" s="4"/>
      <c r="E89" s="1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7.25" x14ac:dyDescent="0.15">
      <c r="A90" s="4"/>
      <c r="B90" s="4"/>
      <c r="C90" s="4"/>
      <c r="D90" s="4"/>
      <c r="E90" s="17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7.25" x14ac:dyDescent="0.15">
      <c r="A91" s="4"/>
      <c r="B91" s="4"/>
      <c r="C91" s="4"/>
      <c r="D91" s="4"/>
      <c r="E91" s="1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7.25" x14ac:dyDescent="0.15">
      <c r="A92" s="4"/>
      <c r="B92" s="4"/>
      <c r="C92" s="4"/>
      <c r="D92" s="4"/>
      <c r="E92" s="17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7.25" x14ac:dyDescent="0.15">
      <c r="A93" s="4"/>
      <c r="B93" s="4"/>
      <c r="C93" s="4"/>
      <c r="D93" s="4"/>
      <c r="E93" s="17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7.25" x14ac:dyDescent="0.15">
      <c r="A94" s="4"/>
      <c r="B94" s="4"/>
      <c r="C94" s="4"/>
      <c r="D94" s="4"/>
      <c r="E94" s="17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7.25" x14ac:dyDescent="0.15">
      <c r="A95" s="4"/>
      <c r="B95" s="4"/>
      <c r="C95" s="4"/>
      <c r="D95" s="4"/>
      <c r="E95" s="1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7.25" x14ac:dyDescent="0.15">
      <c r="A96" s="4"/>
      <c r="B96" s="4"/>
      <c r="C96" s="4"/>
      <c r="D96" s="4"/>
      <c r="E96" s="17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7.25" x14ac:dyDescent="0.15">
      <c r="A97" s="4"/>
      <c r="B97" s="4"/>
      <c r="C97" s="4"/>
      <c r="D97" s="4"/>
      <c r="E97" s="17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7.25" x14ac:dyDescent="0.15">
      <c r="A98" s="4"/>
      <c r="B98" s="4"/>
      <c r="C98" s="4"/>
      <c r="D98" s="4"/>
      <c r="E98" s="17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7.25" x14ac:dyDescent="0.15">
      <c r="A99" s="4"/>
      <c r="B99" s="4"/>
      <c r="C99" s="4"/>
      <c r="D99" s="4"/>
      <c r="E99" s="1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7.25" x14ac:dyDescent="0.15">
      <c r="A100" s="4"/>
      <c r="B100" s="4"/>
      <c r="C100" s="4"/>
      <c r="D100" s="4"/>
      <c r="E100" s="17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7.25" x14ac:dyDescent="0.15">
      <c r="A101" s="4"/>
      <c r="B101" s="4"/>
      <c r="C101" s="4"/>
      <c r="D101" s="4"/>
      <c r="E101" s="17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7.25" x14ac:dyDescent="0.15">
      <c r="A102" s="4"/>
      <c r="B102" s="4"/>
      <c r="C102" s="4"/>
      <c r="D102" s="4"/>
      <c r="E102" s="17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7.25" x14ac:dyDescent="0.15">
      <c r="A103" s="4"/>
      <c r="B103" s="4"/>
      <c r="C103" s="4"/>
      <c r="D103" s="4"/>
      <c r="E103" s="17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7.25" x14ac:dyDescent="0.15">
      <c r="A104" s="4"/>
      <c r="B104" s="4"/>
      <c r="C104" s="4"/>
      <c r="D104" s="4"/>
      <c r="E104" s="17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7.25" x14ac:dyDescent="0.15">
      <c r="A105" s="4"/>
      <c r="B105" s="4"/>
      <c r="C105" s="4"/>
      <c r="D105" s="4"/>
      <c r="E105" s="17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7.25" x14ac:dyDescent="0.15">
      <c r="A106" s="4"/>
      <c r="B106" s="4"/>
      <c r="C106" s="4"/>
      <c r="D106" s="4"/>
      <c r="E106" s="17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7.25" x14ac:dyDescent="0.15">
      <c r="A107" s="4"/>
      <c r="B107" s="4"/>
      <c r="C107" s="4"/>
      <c r="D107" s="4"/>
      <c r="E107" s="17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7.25" x14ac:dyDescent="0.15">
      <c r="A108" s="4"/>
      <c r="B108" s="4"/>
      <c r="C108" s="4"/>
      <c r="D108" s="4"/>
      <c r="E108" s="17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7.25" x14ac:dyDescent="0.15">
      <c r="A109" s="4"/>
      <c r="B109" s="4"/>
      <c r="C109" s="4"/>
      <c r="D109" s="4"/>
      <c r="E109" s="17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7.25" x14ac:dyDescent="0.15">
      <c r="A110" s="4"/>
      <c r="B110" s="4"/>
      <c r="C110" s="4"/>
      <c r="D110" s="4"/>
      <c r="E110" s="17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7.25" x14ac:dyDescent="0.15">
      <c r="A111" s="4"/>
      <c r="B111" s="4"/>
      <c r="C111" s="4"/>
      <c r="D111" s="4"/>
      <c r="E111" s="17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7.25" x14ac:dyDescent="0.15">
      <c r="A112" s="4"/>
      <c r="B112" s="4"/>
      <c r="C112" s="4"/>
      <c r="D112" s="4"/>
      <c r="E112" s="1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7.25" x14ac:dyDescent="0.15">
      <c r="A113" s="4"/>
      <c r="B113" s="4"/>
      <c r="C113" s="4"/>
      <c r="D113" s="4"/>
      <c r="E113" s="1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7.25" x14ac:dyDescent="0.15">
      <c r="A114" s="4"/>
      <c r="B114" s="4"/>
      <c r="C114" s="4"/>
      <c r="D114" s="4"/>
      <c r="E114" s="1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7.25" x14ac:dyDescent="0.15">
      <c r="A115" s="4"/>
      <c r="B115" s="4"/>
      <c r="C115" s="4"/>
      <c r="D115" s="4"/>
      <c r="E115" s="1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7.25" x14ac:dyDescent="0.15">
      <c r="A116" s="4"/>
      <c r="B116" s="4"/>
      <c r="C116" s="4"/>
      <c r="D116" s="4"/>
      <c r="E116" s="17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7.25" x14ac:dyDescent="0.15">
      <c r="A117" s="4"/>
      <c r="B117" s="4"/>
      <c r="C117" s="4"/>
      <c r="D117" s="4"/>
      <c r="E117" s="17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7.25" x14ac:dyDescent="0.15">
      <c r="A118" s="4"/>
      <c r="B118" s="4"/>
      <c r="C118" s="4"/>
      <c r="D118" s="4"/>
      <c r="E118" s="1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7.25" x14ac:dyDescent="0.15">
      <c r="A119" s="4"/>
      <c r="B119" s="4"/>
      <c r="C119" s="4"/>
      <c r="D119" s="4"/>
      <c r="E119" s="1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7.25" x14ac:dyDescent="0.15">
      <c r="A120" s="4"/>
      <c r="B120" s="4"/>
      <c r="C120" s="4"/>
      <c r="D120" s="4"/>
      <c r="E120" s="1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7.25" x14ac:dyDescent="0.15">
      <c r="A121" s="4"/>
      <c r="B121" s="4"/>
      <c r="C121" s="4"/>
      <c r="D121" s="4"/>
      <c r="E121" s="1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7.25" x14ac:dyDescent="0.15">
      <c r="A122" s="4"/>
      <c r="B122" s="4"/>
      <c r="C122" s="4"/>
      <c r="D122" s="4"/>
      <c r="E122" s="17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7.25" x14ac:dyDescent="0.15">
      <c r="A123" s="4"/>
      <c r="B123" s="4"/>
      <c r="C123" s="4"/>
      <c r="D123" s="4"/>
      <c r="E123" s="17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7.25" x14ac:dyDescent="0.15">
      <c r="A124" s="4"/>
      <c r="B124" s="4"/>
      <c r="C124" s="4"/>
      <c r="D124" s="4"/>
      <c r="E124" s="1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7.25" x14ac:dyDescent="0.15">
      <c r="A125" s="4"/>
      <c r="B125" s="4"/>
      <c r="C125" s="4"/>
      <c r="D125" s="4"/>
      <c r="E125" s="1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7.25" x14ac:dyDescent="0.15">
      <c r="A126" s="4"/>
      <c r="B126" s="4"/>
      <c r="C126" s="4"/>
      <c r="D126" s="4"/>
      <c r="E126" s="1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7.25" x14ac:dyDescent="0.15">
      <c r="A127" s="4"/>
      <c r="B127" s="4"/>
      <c r="C127" s="4"/>
      <c r="D127" s="4"/>
      <c r="E127" s="1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7.25" x14ac:dyDescent="0.15">
      <c r="A128" s="4"/>
      <c r="B128" s="4"/>
      <c r="C128" s="4"/>
      <c r="D128" s="4"/>
      <c r="E128" s="17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7.25" x14ac:dyDescent="0.15">
      <c r="A129" s="4"/>
      <c r="B129" s="4"/>
      <c r="C129" s="4"/>
      <c r="D129" s="4"/>
      <c r="E129" s="17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7.25" x14ac:dyDescent="0.15">
      <c r="A130" s="4"/>
      <c r="B130" s="4"/>
      <c r="C130" s="4"/>
      <c r="D130" s="4"/>
      <c r="E130" s="1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7.25" x14ac:dyDescent="0.15">
      <c r="A131" s="4"/>
      <c r="B131" s="4"/>
      <c r="C131" s="4"/>
      <c r="D131" s="4"/>
      <c r="E131" s="1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7.25" x14ac:dyDescent="0.15">
      <c r="A132" s="4"/>
      <c r="B132" s="4"/>
      <c r="C132" s="4"/>
      <c r="D132" s="4"/>
      <c r="E132" s="17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7.25" x14ac:dyDescent="0.15">
      <c r="A133" s="4"/>
      <c r="B133" s="4"/>
      <c r="C133" s="4"/>
      <c r="D133" s="4"/>
      <c r="E133" s="17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7.25" x14ac:dyDescent="0.15">
      <c r="A134" s="4"/>
      <c r="B134" s="4"/>
      <c r="C134" s="4"/>
      <c r="D134" s="4"/>
      <c r="E134" s="17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7.25" x14ac:dyDescent="0.15">
      <c r="A135" s="4"/>
      <c r="B135" s="4"/>
      <c r="C135" s="4"/>
      <c r="D135" s="4"/>
      <c r="E135" s="1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7.25" x14ac:dyDescent="0.15">
      <c r="A136" s="4"/>
      <c r="B136" s="4"/>
      <c r="C136" s="4"/>
      <c r="D136" s="4"/>
      <c r="E136" s="17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7.25" x14ac:dyDescent="0.15">
      <c r="A137" s="4"/>
      <c r="B137" s="4"/>
      <c r="C137" s="4"/>
      <c r="D137" s="4"/>
      <c r="E137" s="1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7.25" x14ac:dyDescent="0.15">
      <c r="A138" s="4"/>
      <c r="B138" s="4"/>
      <c r="C138" s="4"/>
      <c r="D138" s="4"/>
      <c r="E138" s="17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7.25" x14ac:dyDescent="0.15">
      <c r="A139" s="4"/>
      <c r="B139" s="4"/>
      <c r="C139" s="4"/>
      <c r="D139" s="4"/>
      <c r="E139" s="17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7.25" x14ac:dyDescent="0.15">
      <c r="A140" s="4"/>
      <c r="B140" s="4"/>
      <c r="C140" s="4"/>
      <c r="D140" s="4"/>
      <c r="E140" s="17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7.25" x14ac:dyDescent="0.15">
      <c r="A141" s="4"/>
      <c r="B141" s="4"/>
      <c r="C141" s="4"/>
      <c r="D141" s="4"/>
      <c r="E141" s="1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7.25" x14ac:dyDescent="0.15">
      <c r="A142" s="4"/>
      <c r="B142" s="4"/>
      <c r="C142" s="4"/>
      <c r="D142" s="4"/>
      <c r="E142" s="1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7.25" x14ac:dyDescent="0.15">
      <c r="A143" s="4"/>
      <c r="B143" s="4"/>
      <c r="C143" s="4"/>
      <c r="D143" s="4"/>
      <c r="E143" s="17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7.25" x14ac:dyDescent="0.15">
      <c r="A144" s="4"/>
      <c r="B144" s="4"/>
      <c r="C144" s="4"/>
      <c r="D144" s="4"/>
      <c r="E144" s="17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7.25" x14ac:dyDescent="0.15">
      <c r="A145" s="4"/>
      <c r="B145" s="4"/>
      <c r="C145" s="4"/>
      <c r="D145" s="4"/>
      <c r="E145" s="1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7.25" x14ac:dyDescent="0.15">
      <c r="A146" s="4"/>
      <c r="B146" s="4"/>
      <c r="C146" s="4"/>
      <c r="D146" s="4"/>
      <c r="E146" s="17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7.25" x14ac:dyDescent="0.15">
      <c r="A147" s="4"/>
      <c r="B147" s="4"/>
      <c r="C147" s="4"/>
      <c r="D147" s="4"/>
      <c r="E147" s="1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7.25" x14ac:dyDescent="0.15">
      <c r="A148" s="4"/>
      <c r="B148" s="4"/>
      <c r="C148" s="4"/>
      <c r="D148" s="4"/>
      <c r="E148" s="1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7.25" x14ac:dyDescent="0.15">
      <c r="A149" s="4"/>
      <c r="B149" s="4"/>
      <c r="C149" s="4"/>
      <c r="D149" s="4"/>
      <c r="E149" s="1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7.25" x14ac:dyDescent="0.15">
      <c r="A150" s="4"/>
      <c r="B150" s="4"/>
      <c r="C150" s="4"/>
      <c r="D150" s="4"/>
      <c r="E150" s="1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7.25" x14ac:dyDescent="0.15">
      <c r="A151" s="4"/>
      <c r="B151" s="4"/>
      <c r="C151" s="4"/>
      <c r="D151" s="4"/>
      <c r="E151" s="1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7.25" x14ac:dyDescent="0.15">
      <c r="A152" s="4"/>
      <c r="B152" s="4"/>
      <c r="C152" s="4"/>
      <c r="D152" s="4"/>
      <c r="E152" s="1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7.25" x14ac:dyDescent="0.15">
      <c r="A153" s="4"/>
      <c r="B153" s="4"/>
      <c r="C153" s="4"/>
      <c r="D153" s="4"/>
      <c r="E153" s="1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7.25" x14ac:dyDescent="0.15">
      <c r="A154" s="4"/>
      <c r="B154" s="4"/>
      <c r="C154" s="4"/>
      <c r="D154" s="4"/>
      <c r="E154" s="1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7.25" x14ac:dyDescent="0.15">
      <c r="A155" s="4"/>
      <c r="B155" s="4"/>
      <c r="C155" s="4"/>
      <c r="D155" s="4"/>
      <c r="E155" s="1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7.25" x14ac:dyDescent="0.15">
      <c r="A156" s="4"/>
      <c r="B156" s="4"/>
      <c r="C156" s="4"/>
      <c r="D156" s="4"/>
      <c r="E156" s="1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7.25" x14ac:dyDescent="0.15">
      <c r="A157" s="4"/>
      <c r="B157" s="4"/>
      <c r="C157" s="4"/>
      <c r="D157" s="4"/>
      <c r="E157" s="1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7.25" x14ac:dyDescent="0.15">
      <c r="A158" s="4"/>
      <c r="B158" s="4"/>
      <c r="C158" s="4"/>
      <c r="D158" s="4"/>
      <c r="E158" s="1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7.25" x14ac:dyDescent="0.15">
      <c r="A159" s="4"/>
      <c r="B159" s="4"/>
      <c r="C159" s="4"/>
      <c r="D159" s="4"/>
      <c r="E159" s="1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7.25" x14ac:dyDescent="0.15">
      <c r="A160" s="4"/>
      <c r="B160" s="4"/>
      <c r="C160" s="4"/>
      <c r="D160" s="4"/>
      <c r="E160" s="1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7.25" x14ac:dyDescent="0.15">
      <c r="A161" s="4"/>
      <c r="B161" s="4"/>
      <c r="C161" s="4"/>
      <c r="D161" s="4"/>
      <c r="E161" s="1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7.25" x14ac:dyDescent="0.15">
      <c r="A162" s="4"/>
      <c r="B162" s="4"/>
      <c r="C162" s="4"/>
      <c r="D162" s="4"/>
      <c r="E162" s="1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7.25" x14ac:dyDescent="0.15">
      <c r="A163" s="4"/>
      <c r="B163" s="4"/>
      <c r="C163" s="4"/>
      <c r="D163" s="4"/>
      <c r="E163" s="17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7.25" x14ac:dyDescent="0.15">
      <c r="A164" s="4"/>
      <c r="B164" s="4"/>
      <c r="C164" s="4"/>
      <c r="D164" s="4"/>
      <c r="E164" s="17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7.25" x14ac:dyDescent="0.15">
      <c r="A165" s="4"/>
      <c r="B165" s="4"/>
      <c r="C165" s="4"/>
      <c r="D165" s="4"/>
      <c r="E165" s="1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7.25" x14ac:dyDescent="0.15">
      <c r="A166" s="4"/>
      <c r="B166" s="4"/>
      <c r="C166" s="4"/>
      <c r="D166" s="4"/>
      <c r="E166" s="1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7.25" x14ac:dyDescent="0.15">
      <c r="A167" s="4"/>
      <c r="B167" s="4"/>
      <c r="C167" s="4"/>
      <c r="D167" s="4"/>
      <c r="E167" s="1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7.25" x14ac:dyDescent="0.15">
      <c r="A168" s="4"/>
      <c r="B168" s="4"/>
      <c r="C168" s="4"/>
      <c r="D168" s="4"/>
      <c r="E168" s="1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7.25" x14ac:dyDescent="0.15">
      <c r="A169" s="4"/>
      <c r="B169" s="4"/>
      <c r="C169" s="4"/>
      <c r="D169" s="4"/>
      <c r="E169" s="1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7.25" x14ac:dyDescent="0.15">
      <c r="A170" s="4"/>
      <c r="B170" s="4"/>
      <c r="C170" s="4"/>
      <c r="D170" s="4"/>
      <c r="E170" s="17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7.25" x14ac:dyDescent="0.15">
      <c r="A171" s="4"/>
      <c r="B171" s="4"/>
      <c r="C171" s="4"/>
      <c r="D171" s="4"/>
      <c r="E171" s="17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7.25" x14ac:dyDescent="0.15">
      <c r="A172" s="4"/>
      <c r="B172" s="4"/>
      <c r="C172" s="4"/>
      <c r="D172" s="4"/>
      <c r="E172" s="17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7.25" x14ac:dyDescent="0.15">
      <c r="A173" s="4"/>
      <c r="B173" s="4"/>
      <c r="C173" s="4"/>
      <c r="D173" s="4"/>
      <c r="E173" s="17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7.25" x14ac:dyDescent="0.15">
      <c r="A174" s="4"/>
      <c r="B174" s="4"/>
      <c r="C174" s="4"/>
      <c r="D174" s="4"/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7.25" x14ac:dyDescent="0.15">
      <c r="A175" s="4"/>
      <c r="B175" s="4"/>
      <c r="C175" s="4"/>
      <c r="D175" s="4"/>
      <c r="E175" s="17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7.25" x14ac:dyDescent="0.15">
      <c r="A176" s="4"/>
      <c r="B176" s="4"/>
      <c r="C176" s="4"/>
      <c r="D176" s="4"/>
      <c r="E176" s="1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7.25" x14ac:dyDescent="0.15">
      <c r="A177" s="4"/>
      <c r="B177" s="4"/>
      <c r="C177" s="4"/>
      <c r="D177" s="4"/>
      <c r="E177" s="1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7.25" x14ac:dyDescent="0.15">
      <c r="A178" s="4"/>
      <c r="B178" s="4"/>
      <c r="C178" s="4"/>
      <c r="D178" s="4"/>
      <c r="E178" s="17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7.25" x14ac:dyDescent="0.15">
      <c r="A179" s="4"/>
      <c r="B179" s="4"/>
      <c r="C179" s="4"/>
      <c r="D179" s="4"/>
      <c r="E179" s="17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7.25" x14ac:dyDescent="0.15">
      <c r="A180" s="4"/>
      <c r="B180" s="4"/>
      <c r="C180" s="4"/>
      <c r="D180" s="4"/>
      <c r="E180" s="17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7.25" x14ac:dyDescent="0.15">
      <c r="A181" s="4"/>
      <c r="B181" s="4"/>
      <c r="C181" s="4"/>
      <c r="D181" s="4"/>
      <c r="E181" s="17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7.25" x14ac:dyDescent="0.15">
      <c r="A182" s="4"/>
      <c r="B182" s="4"/>
      <c r="C182" s="4"/>
      <c r="D182" s="4"/>
      <c r="E182" s="17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7.25" x14ac:dyDescent="0.15">
      <c r="A183" s="4"/>
      <c r="B183" s="4"/>
      <c r="C183" s="4"/>
      <c r="D183" s="4"/>
      <c r="E183" s="17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7.25" x14ac:dyDescent="0.15">
      <c r="A184" s="4"/>
      <c r="B184" s="4"/>
      <c r="C184" s="4"/>
      <c r="D184" s="4"/>
      <c r="E184" s="1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7.25" x14ac:dyDescent="0.15">
      <c r="A185" s="4"/>
      <c r="B185" s="4"/>
      <c r="C185" s="4"/>
      <c r="D185" s="4"/>
      <c r="E185" s="1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7.25" x14ac:dyDescent="0.15">
      <c r="A186" s="4"/>
      <c r="B186" s="4"/>
      <c r="C186" s="4"/>
      <c r="D186" s="4"/>
      <c r="E186" s="17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7.25" x14ac:dyDescent="0.15">
      <c r="A187" s="4"/>
      <c r="B187" s="4"/>
      <c r="C187" s="4"/>
      <c r="D187" s="4"/>
      <c r="E187" s="1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7.25" x14ac:dyDescent="0.15">
      <c r="A188" s="4"/>
      <c r="B188" s="4"/>
      <c r="C188" s="4"/>
      <c r="D188" s="4"/>
      <c r="E188" s="17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7.25" x14ac:dyDescent="0.15">
      <c r="A189" s="4"/>
      <c r="B189" s="4"/>
      <c r="C189" s="4"/>
      <c r="D189" s="4"/>
      <c r="E189" s="17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7.25" x14ac:dyDescent="0.15">
      <c r="A190" s="4"/>
      <c r="B190" s="4"/>
      <c r="C190" s="4"/>
      <c r="D190" s="4"/>
      <c r="E190" s="17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7.25" x14ac:dyDescent="0.15">
      <c r="A191" s="4"/>
      <c r="B191" s="4"/>
      <c r="C191" s="4"/>
      <c r="D191" s="4"/>
      <c r="E191" s="1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7.25" x14ac:dyDescent="0.15">
      <c r="A192" s="4"/>
      <c r="B192" s="4"/>
      <c r="C192" s="4"/>
      <c r="D192" s="4"/>
      <c r="E192" s="17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7.25" x14ac:dyDescent="0.15">
      <c r="A193" s="4"/>
      <c r="B193" s="4"/>
      <c r="C193" s="4"/>
      <c r="D193" s="4"/>
      <c r="E193" s="17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7.25" x14ac:dyDescent="0.15">
      <c r="A194" s="4"/>
      <c r="B194" s="4"/>
      <c r="C194" s="4"/>
      <c r="D194" s="4"/>
      <c r="E194" s="17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7.25" x14ac:dyDescent="0.15">
      <c r="A195" s="4"/>
      <c r="B195" s="4"/>
      <c r="C195" s="4"/>
      <c r="D195" s="4"/>
      <c r="E195" s="1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7.25" x14ac:dyDescent="0.15">
      <c r="A196" s="4"/>
      <c r="B196" s="4"/>
      <c r="C196" s="4"/>
      <c r="D196" s="4"/>
      <c r="E196" s="1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7.25" x14ac:dyDescent="0.15">
      <c r="A197" s="4"/>
      <c r="B197" s="4"/>
      <c r="C197" s="4"/>
      <c r="D197" s="4"/>
      <c r="E197" s="1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7.25" x14ac:dyDescent="0.15">
      <c r="A198" s="4"/>
      <c r="B198" s="4"/>
      <c r="C198" s="4"/>
      <c r="D198" s="4"/>
      <c r="E198" s="1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7.25" x14ac:dyDescent="0.15">
      <c r="A199" s="4"/>
      <c r="B199" s="4"/>
      <c r="C199" s="4"/>
      <c r="D199" s="4"/>
      <c r="E199" s="1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7.25" x14ac:dyDescent="0.15">
      <c r="A200" s="4"/>
      <c r="B200" s="4"/>
      <c r="C200" s="4"/>
      <c r="D200" s="4"/>
      <c r="E200" s="1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7.25" x14ac:dyDescent="0.15">
      <c r="A201" s="4"/>
      <c r="B201" s="4"/>
      <c r="C201" s="4"/>
      <c r="D201" s="4"/>
      <c r="E201" s="1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7.25" x14ac:dyDescent="0.15">
      <c r="A202" s="4"/>
      <c r="B202" s="4"/>
      <c r="C202" s="4"/>
      <c r="D202" s="4"/>
      <c r="E202" s="1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7.25" x14ac:dyDescent="0.15">
      <c r="A203" s="4"/>
      <c r="B203" s="4"/>
      <c r="C203" s="4"/>
      <c r="D203" s="4"/>
      <c r="E203" s="1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7.25" x14ac:dyDescent="0.15">
      <c r="A204" s="4"/>
      <c r="B204" s="4"/>
      <c r="C204" s="4"/>
      <c r="D204" s="4"/>
      <c r="E204" s="1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7.25" x14ac:dyDescent="0.15">
      <c r="A205" s="4"/>
      <c r="B205" s="4"/>
      <c r="C205" s="4"/>
      <c r="D205" s="4"/>
      <c r="E205" s="1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7.25" x14ac:dyDescent="0.15">
      <c r="A206" s="4"/>
      <c r="B206" s="4"/>
      <c r="C206" s="4"/>
      <c r="D206" s="4"/>
      <c r="E206" s="17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7.25" x14ac:dyDescent="0.15">
      <c r="A207" s="4"/>
      <c r="B207" s="4"/>
      <c r="C207" s="4"/>
      <c r="D207" s="4"/>
      <c r="E207" s="1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7.25" x14ac:dyDescent="0.15">
      <c r="A208" s="4"/>
      <c r="B208" s="4"/>
      <c r="C208" s="4"/>
      <c r="D208" s="4"/>
      <c r="E208" s="1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7.25" x14ac:dyDescent="0.15">
      <c r="A209" s="4"/>
      <c r="B209" s="4"/>
      <c r="C209" s="4"/>
      <c r="D209" s="4"/>
      <c r="E209" s="1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7.25" x14ac:dyDescent="0.15">
      <c r="A210" s="4"/>
      <c r="B210" s="4"/>
      <c r="C210" s="4"/>
      <c r="D210" s="4"/>
      <c r="E210" s="1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7.25" x14ac:dyDescent="0.15">
      <c r="A211" s="4"/>
      <c r="B211" s="4"/>
      <c r="C211" s="4"/>
      <c r="D211" s="4"/>
      <c r="E211" s="1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7.25" x14ac:dyDescent="0.15">
      <c r="A212" s="4"/>
      <c r="B212" s="4"/>
      <c r="C212" s="4"/>
      <c r="D212" s="4"/>
      <c r="E212" s="1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7.25" x14ac:dyDescent="0.15">
      <c r="A213" s="4"/>
      <c r="B213" s="4"/>
      <c r="C213" s="4"/>
      <c r="D213" s="4"/>
      <c r="E213" s="1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7.25" x14ac:dyDescent="0.15">
      <c r="A214" s="4"/>
      <c r="B214" s="4"/>
      <c r="C214" s="4"/>
      <c r="D214" s="4"/>
      <c r="E214" s="1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7.25" x14ac:dyDescent="0.15">
      <c r="A215" s="4"/>
      <c r="B215" s="4"/>
      <c r="C215" s="4"/>
      <c r="D215" s="4"/>
      <c r="E215" s="1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7.25" x14ac:dyDescent="0.15">
      <c r="A216" s="4"/>
      <c r="B216" s="4"/>
      <c r="C216" s="4"/>
      <c r="D216" s="4"/>
      <c r="E216" s="1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7.25" x14ac:dyDescent="0.15">
      <c r="A217" s="4"/>
      <c r="B217" s="4"/>
      <c r="C217" s="4"/>
      <c r="D217" s="4"/>
      <c r="E217" s="1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7.25" x14ac:dyDescent="0.15">
      <c r="A218" s="4"/>
      <c r="B218" s="4"/>
      <c r="C218" s="4"/>
      <c r="D218" s="4"/>
      <c r="E218" s="17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7.25" x14ac:dyDescent="0.15">
      <c r="A219" s="4"/>
      <c r="B219" s="4"/>
      <c r="C219" s="4"/>
      <c r="D219" s="4"/>
      <c r="E219" s="1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7.25" x14ac:dyDescent="0.15">
      <c r="A220" s="4"/>
      <c r="B220" s="4"/>
      <c r="C220" s="4"/>
      <c r="D220" s="4"/>
      <c r="E220" s="17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7.25" x14ac:dyDescent="0.15">
      <c r="A221" s="4"/>
      <c r="B221" s="4"/>
      <c r="C221" s="4"/>
      <c r="D221" s="4"/>
      <c r="E221" s="1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7.25" x14ac:dyDescent="0.15">
      <c r="A222" s="4"/>
      <c r="B222" s="4"/>
      <c r="C222" s="4"/>
      <c r="D222" s="4"/>
      <c r="E222" s="17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7.25" x14ac:dyDescent="0.15">
      <c r="A223" s="4"/>
      <c r="B223" s="4"/>
      <c r="C223" s="4"/>
      <c r="D223" s="4"/>
      <c r="E223" s="17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7.25" x14ac:dyDescent="0.15">
      <c r="A224" s="4"/>
      <c r="B224" s="4"/>
      <c r="C224" s="4"/>
      <c r="D224" s="4"/>
      <c r="E224" s="17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7.25" x14ac:dyDescent="0.15">
      <c r="A225" s="4"/>
      <c r="B225" s="4"/>
      <c r="C225" s="4"/>
      <c r="D225" s="4"/>
      <c r="E225" s="17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7.25" x14ac:dyDescent="0.15">
      <c r="A226" s="4"/>
      <c r="B226" s="4"/>
      <c r="C226" s="4"/>
      <c r="D226" s="4"/>
      <c r="E226" s="1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7.25" x14ac:dyDescent="0.15">
      <c r="A227" s="4"/>
      <c r="B227" s="4"/>
      <c r="C227" s="4"/>
      <c r="D227" s="4"/>
      <c r="E227" s="1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7.25" x14ac:dyDescent="0.15">
      <c r="A228" s="4"/>
      <c r="B228" s="4"/>
      <c r="C228" s="4"/>
      <c r="D228" s="4"/>
      <c r="E228" s="17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7.25" x14ac:dyDescent="0.15">
      <c r="A229" s="4"/>
      <c r="B229" s="4"/>
      <c r="C229" s="4"/>
      <c r="D229" s="4"/>
      <c r="E229" s="17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7.25" x14ac:dyDescent="0.15">
      <c r="A230" s="4"/>
      <c r="B230" s="4"/>
      <c r="C230" s="4"/>
      <c r="D230" s="4"/>
      <c r="E230" s="17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7.25" x14ac:dyDescent="0.15">
      <c r="A231" s="4"/>
      <c r="B231" s="4"/>
      <c r="C231" s="4"/>
      <c r="D231" s="4"/>
      <c r="E231" s="17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7.25" x14ac:dyDescent="0.15">
      <c r="A232" s="4"/>
      <c r="B232" s="4"/>
      <c r="C232" s="4"/>
      <c r="D232" s="4"/>
      <c r="E232" s="17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7.25" x14ac:dyDescent="0.15">
      <c r="A233" s="4"/>
      <c r="B233" s="4"/>
      <c r="C233" s="4"/>
      <c r="D233" s="4"/>
      <c r="E233" s="17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7.25" x14ac:dyDescent="0.15">
      <c r="A234" s="4"/>
      <c r="B234" s="4"/>
      <c r="C234" s="4"/>
      <c r="D234" s="4"/>
      <c r="E234" s="17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7.25" x14ac:dyDescent="0.15">
      <c r="A235" s="4"/>
      <c r="B235" s="4"/>
      <c r="C235" s="4"/>
      <c r="D235" s="4"/>
      <c r="E235" s="17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7.25" x14ac:dyDescent="0.15">
      <c r="A236" s="4"/>
      <c r="B236" s="4"/>
      <c r="C236" s="4"/>
      <c r="D236" s="4"/>
      <c r="E236" s="17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7.25" x14ac:dyDescent="0.15">
      <c r="A237" s="4"/>
      <c r="B237" s="4"/>
      <c r="C237" s="4"/>
      <c r="D237" s="4"/>
      <c r="E237" s="1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7.25" x14ac:dyDescent="0.15">
      <c r="A238" s="4"/>
      <c r="B238" s="4"/>
      <c r="C238" s="4"/>
      <c r="D238" s="4"/>
      <c r="E238" s="17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7.25" x14ac:dyDescent="0.15">
      <c r="A239" s="4"/>
      <c r="B239" s="4"/>
      <c r="C239" s="4"/>
      <c r="D239" s="4"/>
      <c r="E239" s="17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7.25" x14ac:dyDescent="0.15">
      <c r="A240" s="4"/>
      <c r="B240" s="4"/>
      <c r="C240" s="4"/>
      <c r="D240" s="4"/>
      <c r="E240" s="17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7.25" x14ac:dyDescent="0.15">
      <c r="A241" s="4"/>
      <c r="B241" s="4"/>
      <c r="C241" s="4"/>
      <c r="D241" s="4"/>
      <c r="E241" s="17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7.25" x14ac:dyDescent="0.15">
      <c r="A242" s="4"/>
      <c r="B242" s="4"/>
      <c r="C242" s="4"/>
      <c r="D242" s="4"/>
      <c r="E242" s="17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7.25" x14ac:dyDescent="0.15">
      <c r="A243" s="4"/>
      <c r="B243" s="4"/>
      <c r="C243" s="4"/>
      <c r="D243" s="4"/>
      <c r="E243" s="17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7.25" x14ac:dyDescent="0.15">
      <c r="A244" s="4"/>
      <c r="B244" s="4"/>
      <c r="C244" s="4"/>
      <c r="D244" s="4"/>
      <c r="E244" s="17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7.25" x14ac:dyDescent="0.15">
      <c r="A245" s="4"/>
      <c r="B245" s="4"/>
      <c r="C245" s="4"/>
      <c r="D245" s="4"/>
      <c r="E245" s="17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7.25" x14ac:dyDescent="0.15">
      <c r="A246" s="4"/>
      <c r="B246" s="4"/>
      <c r="C246" s="4"/>
      <c r="D246" s="4"/>
      <c r="E246" s="17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7.25" x14ac:dyDescent="0.15">
      <c r="A247" s="4"/>
      <c r="B247" s="4"/>
      <c r="C247" s="4"/>
      <c r="D247" s="4"/>
      <c r="E247" s="17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7.25" x14ac:dyDescent="0.15">
      <c r="A248" s="4"/>
      <c r="B248" s="4"/>
      <c r="C248" s="4"/>
      <c r="D248" s="4"/>
      <c r="E248" s="17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7.25" x14ac:dyDescent="0.15">
      <c r="A249" s="4"/>
      <c r="B249" s="4"/>
      <c r="C249" s="4"/>
      <c r="D249" s="4"/>
      <c r="E249" s="17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7.25" x14ac:dyDescent="0.15">
      <c r="A250" s="4"/>
      <c r="B250" s="4"/>
      <c r="C250" s="4"/>
      <c r="D250" s="4"/>
      <c r="E250" s="17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7.25" x14ac:dyDescent="0.15">
      <c r="A251" s="4"/>
      <c r="B251" s="4"/>
      <c r="C251" s="4"/>
      <c r="D251" s="4"/>
      <c r="E251" s="17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7.25" x14ac:dyDescent="0.15">
      <c r="A252" s="4"/>
      <c r="B252" s="4"/>
      <c r="C252" s="4"/>
      <c r="D252" s="4"/>
      <c r="E252" s="17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7.25" x14ac:dyDescent="0.15">
      <c r="A253" s="4"/>
      <c r="B253" s="4"/>
      <c r="C253" s="4"/>
      <c r="D253" s="4"/>
      <c r="E253" s="17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7.25" x14ac:dyDescent="0.15">
      <c r="A254" s="4"/>
      <c r="B254" s="4"/>
      <c r="C254" s="4"/>
      <c r="D254" s="4"/>
      <c r="E254" s="17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7.25" x14ac:dyDescent="0.15">
      <c r="A255" s="4"/>
      <c r="B255" s="4"/>
      <c r="C255" s="4"/>
      <c r="D255" s="4"/>
      <c r="E255" s="17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7.25" x14ac:dyDescent="0.15">
      <c r="A256" s="4"/>
      <c r="B256" s="4"/>
      <c r="C256" s="4"/>
      <c r="D256" s="4"/>
      <c r="E256" s="17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7.25" x14ac:dyDescent="0.15">
      <c r="A257" s="4"/>
      <c r="B257" s="4"/>
      <c r="C257" s="4"/>
      <c r="D257" s="4"/>
      <c r="E257" s="17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7.25" x14ac:dyDescent="0.15">
      <c r="A258" s="4"/>
      <c r="B258" s="4"/>
      <c r="C258" s="4"/>
      <c r="D258" s="4"/>
      <c r="E258" s="17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7.25" x14ac:dyDescent="0.15">
      <c r="A259" s="4"/>
      <c r="B259" s="4"/>
      <c r="C259" s="4"/>
      <c r="D259" s="4"/>
      <c r="E259" s="17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7.25" x14ac:dyDescent="0.15">
      <c r="A260" s="4"/>
      <c r="B260" s="4"/>
      <c r="C260" s="4"/>
      <c r="D260" s="4"/>
      <c r="E260" s="17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7.25" x14ac:dyDescent="0.15">
      <c r="A261" s="4"/>
      <c r="B261" s="4"/>
      <c r="C261" s="4"/>
      <c r="D261" s="4"/>
      <c r="E261" s="17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7.25" x14ac:dyDescent="0.15">
      <c r="A262" s="4"/>
      <c r="B262" s="4"/>
      <c r="C262" s="4"/>
      <c r="D262" s="4"/>
      <c r="E262" s="17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7.25" x14ac:dyDescent="0.15">
      <c r="A263" s="4"/>
      <c r="B263" s="4"/>
      <c r="C263" s="4"/>
      <c r="D263" s="4"/>
      <c r="E263" s="17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7.25" x14ac:dyDescent="0.15">
      <c r="A264" s="4"/>
      <c r="B264" s="4"/>
      <c r="C264" s="4"/>
      <c r="D264" s="4"/>
      <c r="E264" s="17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7.25" x14ac:dyDescent="0.15">
      <c r="A265" s="4"/>
      <c r="B265" s="4"/>
      <c r="C265" s="4"/>
      <c r="D265" s="4"/>
      <c r="E265" s="17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7.25" x14ac:dyDescent="0.15">
      <c r="A266" s="4"/>
      <c r="B266" s="4"/>
      <c r="C266" s="4"/>
      <c r="D266" s="4"/>
      <c r="E266" s="17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7.25" x14ac:dyDescent="0.15">
      <c r="A267" s="4"/>
      <c r="B267" s="4"/>
      <c r="C267" s="4"/>
      <c r="D267" s="4"/>
      <c r="E267" s="17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7.25" x14ac:dyDescent="0.15">
      <c r="A268" s="4"/>
      <c r="B268" s="4"/>
      <c r="C268" s="4"/>
      <c r="D268" s="4"/>
      <c r="E268" s="17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7.25" x14ac:dyDescent="0.15">
      <c r="A269" s="4"/>
      <c r="B269" s="4"/>
      <c r="C269" s="4"/>
      <c r="D269" s="4"/>
      <c r="E269" s="17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7.25" x14ac:dyDescent="0.15">
      <c r="A270" s="4"/>
      <c r="B270" s="4"/>
      <c r="C270" s="4"/>
      <c r="D270" s="4"/>
      <c r="E270" s="17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7.25" x14ac:dyDescent="0.15">
      <c r="A271" s="4"/>
      <c r="B271" s="4"/>
      <c r="C271" s="4"/>
      <c r="D271" s="4"/>
      <c r="E271" s="17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7.25" x14ac:dyDescent="0.15">
      <c r="A272" s="4"/>
      <c r="B272" s="4"/>
      <c r="C272" s="4"/>
      <c r="D272" s="4"/>
      <c r="E272" s="17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7.25" x14ac:dyDescent="0.15">
      <c r="A273" s="4"/>
      <c r="B273" s="4"/>
      <c r="C273" s="4"/>
      <c r="D273" s="4"/>
      <c r="E273" s="17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7.25" x14ac:dyDescent="0.15">
      <c r="A274" s="4"/>
      <c r="B274" s="4"/>
      <c r="C274" s="4"/>
      <c r="D274" s="4"/>
      <c r="E274" s="17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7.25" x14ac:dyDescent="0.15">
      <c r="A275" s="4"/>
      <c r="B275" s="4"/>
      <c r="C275" s="4"/>
      <c r="D275" s="4"/>
      <c r="E275" s="17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7.25" x14ac:dyDescent="0.15">
      <c r="A276" s="4"/>
      <c r="B276" s="4"/>
      <c r="C276" s="4"/>
      <c r="D276" s="4"/>
      <c r="E276" s="17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7.25" x14ac:dyDescent="0.15">
      <c r="A277" s="4"/>
      <c r="B277" s="4"/>
      <c r="C277" s="4"/>
      <c r="D277" s="4"/>
      <c r="E277" s="1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7.25" x14ac:dyDescent="0.15">
      <c r="A278" s="4"/>
      <c r="B278" s="4"/>
      <c r="C278" s="4"/>
      <c r="D278" s="4"/>
      <c r="E278" s="17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7.25" x14ac:dyDescent="0.15">
      <c r="A279" s="4"/>
      <c r="B279" s="4"/>
      <c r="C279" s="4"/>
      <c r="D279" s="4"/>
      <c r="E279" s="17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7.25" x14ac:dyDescent="0.15">
      <c r="A280" s="4"/>
      <c r="B280" s="4"/>
      <c r="C280" s="4"/>
      <c r="D280" s="4"/>
      <c r="E280" s="17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7.25" x14ac:dyDescent="0.15">
      <c r="A281" s="4"/>
      <c r="B281" s="4"/>
      <c r="C281" s="4"/>
      <c r="D281" s="4"/>
      <c r="E281" s="17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7.25" x14ac:dyDescent="0.15">
      <c r="A282" s="4"/>
      <c r="B282" s="4"/>
      <c r="C282" s="4"/>
      <c r="D282" s="4"/>
      <c r="E282" s="17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7.25" x14ac:dyDescent="0.15">
      <c r="A283" s="4"/>
      <c r="B283" s="4"/>
      <c r="C283" s="4"/>
      <c r="D283" s="4"/>
      <c r="E283" s="17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7.25" x14ac:dyDescent="0.15">
      <c r="A284" s="4"/>
      <c r="B284" s="4"/>
      <c r="C284" s="4"/>
      <c r="D284" s="4"/>
      <c r="E284" s="17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7.25" x14ac:dyDescent="0.15">
      <c r="A285" s="4"/>
      <c r="B285" s="4"/>
      <c r="C285" s="4"/>
      <c r="D285" s="4"/>
      <c r="E285" s="17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7.25" x14ac:dyDescent="0.15">
      <c r="A286" s="4"/>
      <c r="B286" s="4"/>
      <c r="C286" s="4"/>
      <c r="D286" s="4"/>
      <c r="E286" s="17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7.25" x14ac:dyDescent="0.15">
      <c r="A287" s="4"/>
      <c r="B287" s="4"/>
      <c r="C287" s="4"/>
      <c r="D287" s="4"/>
      <c r="E287" s="1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7.25" x14ac:dyDescent="0.15">
      <c r="A288" s="4"/>
      <c r="B288" s="4"/>
      <c r="C288" s="4"/>
      <c r="D288" s="4"/>
      <c r="E288" s="17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7.25" x14ac:dyDescent="0.15">
      <c r="A289" s="4"/>
      <c r="B289" s="4"/>
      <c r="C289" s="4"/>
      <c r="D289" s="4"/>
      <c r="E289" s="17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7.25" x14ac:dyDescent="0.15">
      <c r="A290" s="4"/>
      <c r="B290" s="4"/>
      <c r="C290" s="4"/>
      <c r="D290" s="4"/>
      <c r="E290" s="17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7.25" x14ac:dyDescent="0.15">
      <c r="A291" s="4"/>
      <c r="B291" s="4"/>
      <c r="C291" s="4"/>
      <c r="D291" s="4"/>
      <c r="E291" s="17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7.25" x14ac:dyDescent="0.15">
      <c r="A292" s="4"/>
      <c r="B292" s="4"/>
      <c r="C292" s="4"/>
      <c r="D292" s="4"/>
      <c r="E292" s="17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7.25" x14ac:dyDescent="0.15">
      <c r="A293" s="4"/>
      <c r="B293" s="4"/>
      <c r="C293" s="4"/>
      <c r="D293" s="4"/>
      <c r="E293" s="17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7.25" x14ac:dyDescent="0.15">
      <c r="A294" s="4"/>
      <c r="B294" s="4"/>
      <c r="C294" s="4"/>
      <c r="D294" s="4"/>
      <c r="E294" s="17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7.25" x14ac:dyDescent="0.15">
      <c r="A295" s="4"/>
      <c r="B295" s="4"/>
      <c r="C295" s="4"/>
      <c r="D295" s="4"/>
      <c r="E295" s="17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7.25" x14ac:dyDescent="0.15">
      <c r="A296" s="4"/>
      <c r="B296" s="4"/>
      <c r="C296" s="4"/>
      <c r="D296" s="4"/>
      <c r="E296" s="17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7.25" x14ac:dyDescent="0.15">
      <c r="A297" s="4"/>
      <c r="B297" s="4"/>
      <c r="C297" s="4"/>
      <c r="D297" s="4"/>
      <c r="E297" s="17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7.25" x14ac:dyDescent="0.15">
      <c r="A298" s="4"/>
      <c r="B298" s="4"/>
      <c r="C298" s="4"/>
      <c r="D298" s="4"/>
      <c r="E298" s="17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7.25" x14ac:dyDescent="0.15">
      <c r="A299" s="4"/>
      <c r="B299" s="4"/>
      <c r="C299" s="4"/>
      <c r="D299" s="4"/>
      <c r="E299" s="17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7.25" x14ac:dyDescent="0.15">
      <c r="A300" s="4"/>
      <c r="B300" s="4"/>
      <c r="C300" s="4"/>
      <c r="D300" s="4"/>
      <c r="E300" s="17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7.25" x14ac:dyDescent="0.15">
      <c r="A301" s="4"/>
      <c r="B301" s="4"/>
      <c r="C301" s="4"/>
      <c r="D301" s="4"/>
      <c r="E301" s="17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7.25" x14ac:dyDescent="0.15">
      <c r="A302" s="4"/>
      <c r="B302" s="4"/>
      <c r="C302" s="4"/>
      <c r="D302" s="4"/>
      <c r="E302" s="17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7.25" x14ac:dyDescent="0.15">
      <c r="A303" s="4"/>
      <c r="B303" s="4"/>
      <c r="C303" s="4"/>
      <c r="D303" s="4"/>
      <c r="E303" s="17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7.25" x14ac:dyDescent="0.15">
      <c r="A304" s="4"/>
      <c r="B304" s="4"/>
      <c r="C304" s="4"/>
      <c r="D304" s="4"/>
      <c r="E304" s="17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7.25" x14ac:dyDescent="0.15">
      <c r="A305" s="4"/>
      <c r="B305" s="4"/>
      <c r="C305" s="4"/>
      <c r="D305" s="4"/>
      <c r="E305" s="17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7.25" x14ac:dyDescent="0.15">
      <c r="A306" s="4"/>
      <c r="B306" s="4"/>
      <c r="C306" s="4"/>
      <c r="D306" s="4"/>
      <c r="E306" s="17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7.25" x14ac:dyDescent="0.15">
      <c r="A307" s="4"/>
      <c r="B307" s="4"/>
      <c r="C307" s="4"/>
      <c r="D307" s="4"/>
      <c r="E307" s="17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7.25" x14ac:dyDescent="0.15">
      <c r="A308" s="4"/>
      <c r="B308" s="4"/>
      <c r="C308" s="4"/>
      <c r="D308" s="4"/>
      <c r="E308" s="17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7.25" x14ac:dyDescent="0.15">
      <c r="A309" s="4"/>
      <c r="B309" s="4"/>
      <c r="C309" s="4"/>
      <c r="D309" s="4"/>
      <c r="E309" s="17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7.25" x14ac:dyDescent="0.15">
      <c r="A310" s="4"/>
      <c r="B310" s="4"/>
      <c r="C310" s="4"/>
      <c r="D310" s="4"/>
      <c r="E310" s="17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7.25" x14ac:dyDescent="0.15">
      <c r="A311" s="4"/>
      <c r="B311" s="4"/>
      <c r="C311" s="4"/>
      <c r="D311" s="4"/>
      <c r="E311" s="17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7.25" x14ac:dyDescent="0.15">
      <c r="A312" s="4"/>
      <c r="B312" s="4"/>
      <c r="C312" s="4"/>
      <c r="D312" s="4"/>
      <c r="E312" s="17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7.25" x14ac:dyDescent="0.15">
      <c r="A313" s="4"/>
      <c r="B313" s="4"/>
      <c r="C313" s="4"/>
      <c r="D313" s="4"/>
      <c r="E313" s="17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7.25" x14ac:dyDescent="0.15">
      <c r="A314" s="4"/>
      <c r="B314" s="4"/>
      <c r="C314" s="4"/>
      <c r="D314" s="4"/>
      <c r="E314" s="17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7.25" x14ac:dyDescent="0.15">
      <c r="A315" s="4"/>
      <c r="B315" s="4"/>
      <c r="C315" s="4"/>
      <c r="D315" s="4"/>
      <c r="E315" s="17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7.25" x14ac:dyDescent="0.15">
      <c r="A316" s="4"/>
      <c r="B316" s="4"/>
      <c r="C316" s="4"/>
      <c r="D316" s="4"/>
      <c r="E316" s="17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7.25" x14ac:dyDescent="0.15">
      <c r="A317" s="4"/>
      <c r="B317" s="4"/>
      <c r="C317" s="4"/>
      <c r="D317" s="4"/>
      <c r="E317" s="17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7.25" x14ac:dyDescent="0.15">
      <c r="A318" s="4"/>
      <c r="B318" s="4"/>
      <c r="C318" s="4"/>
      <c r="D318" s="4"/>
      <c r="E318" s="17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7.25" x14ac:dyDescent="0.15">
      <c r="A319" s="4"/>
      <c r="B319" s="4"/>
      <c r="C319" s="4"/>
      <c r="D319" s="4"/>
      <c r="E319" s="17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7.25" x14ac:dyDescent="0.15">
      <c r="A320" s="4"/>
      <c r="B320" s="4"/>
      <c r="C320" s="4"/>
      <c r="D320" s="4"/>
      <c r="E320" s="17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7.25" x14ac:dyDescent="0.15">
      <c r="A321" s="4"/>
      <c r="B321" s="4"/>
      <c r="C321" s="4"/>
      <c r="D321" s="4"/>
      <c r="E321" s="17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7.25" x14ac:dyDescent="0.15">
      <c r="A322" s="4"/>
      <c r="B322" s="4"/>
      <c r="C322" s="4"/>
      <c r="D322" s="4"/>
      <c r="E322" s="17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7.25" x14ac:dyDescent="0.15">
      <c r="A323" s="4"/>
      <c r="B323" s="4"/>
      <c r="C323" s="4"/>
      <c r="D323" s="4"/>
      <c r="E323" s="17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7.25" x14ac:dyDescent="0.15">
      <c r="A324" s="4"/>
      <c r="B324" s="4"/>
      <c r="C324" s="4"/>
      <c r="D324" s="4"/>
      <c r="E324" s="17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7.25" x14ac:dyDescent="0.15">
      <c r="A325" s="4"/>
      <c r="B325" s="4"/>
      <c r="C325" s="4"/>
      <c r="D325" s="4"/>
      <c r="E325" s="17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7.25" x14ac:dyDescent="0.15">
      <c r="A326" s="4"/>
      <c r="B326" s="4"/>
      <c r="C326" s="4"/>
      <c r="D326" s="4"/>
      <c r="E326" s="17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7.25" x14ac:dyDescent="0.15">
      <c r="A327" s="4"/>
      <c r="B327" s="4"/>
      <c r="C327" s="4"/>
      <c r="D327" s="4"/>
      <c r="E327" s="17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7.25" x14ac:dyDescent="0.15">
      <c r="A328" s="4"/>
      <c r="B328" s="4"/>
      <c r="C328" s="4"/>
      <c r="D328" s="4"/>
      <c r="E328" s="17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7.25" x14ac:dyDescent="0.15">
      <c r="A329" s="4"/>
      <c r="B329" s="4"/>
      <c r="C329" s="4"/>
      <c r="D329" s="4"/>
      <c r="E329" s="17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7.25" x14ac:dyDescent="0.15">
      <c r="A330" s="4"/>
      <c r="B330" s="4"/>
      <c r="C330" s="4"/>
      <c r="D330" s="4"/>
      <c r="E330" s="17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7.25" x14ac:dyDescent="0.15">
      <c r="A331" s="4"/>
      <c r="B331" s="4"/>
      <c r="C331" s="4"/>
      <c r="D331" s="4"/>
      <c r="E331" s="17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7.25" x14ac:dyDescent="0.15">
      <c r="A332" s="4"/>
      <c r="B332" s="4"/>
      <c r="C332" s="4"/>
      <c r="D332" s="4"/>
      <c r="E332" s="17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7.25" x14ac:dyDescent="0.15">
      <c r="A333" s="4"/>
      <c r="B333" s="4"/>
      <c r="C333" s="4"/>
      <c r="D333" s="4"/>
      <c r="E333" s="17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7.25" x14ac:dyDescent="0.15">
      <c r="A334" s="4"/>
      <c r="B334" s="4"/>
      <c r="C334" s="4"/>
      <c r="D334" s="4"/>
      <c r="E334" s="17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7.25" x14ac:dyDescent="0.15">
      <c r="A335" s="4"/>
      <c r="B335" s="4"/>
      <c r="C335" s="4"/>
      <c r="D335" s="4"/>
      <c r="E335" s="17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7.25" x14ac:dyDescent="0.15">
      <c r="A336" s="4"/>
      <c r="B336" s="4"/>
      <c r="C336" s="4"/>
      <c r="D336" s="4"/>
      <c r="E336" s="17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7.25" x14ac:dyDescent="0.15">
      <c r="A337" s="4"/>
      <c r="B337" s="4"/>
      <c r="C337" s="4"/>
      <c r="D337" s="4"/>
      <c r="E337" s="17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7.25" x14ac:dyDescent="0.15">
      <c r="A338" s="4"/>
      <c r="B338" s="4"/>
      <c r="C338" s="4"/>
      <c r="D338" s="4"/>
      <c r="E338" s="17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7.25" x14ac:dyDescent="0.15">
      <c r="A339" s="4"/>
      <c r="B339" s="4"/>
      <c r="C339" s="4"/>
      <c r="D339" s="4"/>
      <c r="E339" s="17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7.25" x14ac:dyDescent="0.15">
      <c r="A340" s="4"/>
      <c r="B340" s="4"/>
      <c r="C340" s="4"/>
      <c r="D340" s="4"/>
      <c r="E340" s="17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7.25" x14ac:dyDescent="0.15">
      <c r="A341" s="4"/>
      <c r="B341" s="4"/>
      <c r="C341" s="4"/>
      <c r="D341" s="4"/>
      <c r="E341" s="17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7.25" x14ac:dyDescent="0.15">
      <c r="A342" s="4"/>
      <c r="B342" s="4"/>
      <c r="C342" s="4"/>
      <c r="D342" s="4"/>
      <c r="E342" s="17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7.25" x14ac:dyDescent="0.15">
      <c r="A343" s="4"/>
      <c r="B343" s="4"/>
      <c r="C343" s="4"/>
      <c r="D343" s="4"/>
      <c r="E343" s="17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7.25" x14ac:dyDescent="0.15">
      <c r="A344" s="4"/>
      <c r="B344" s="4"/>
      <c r="C344" s="4"/>
      <c r="D344" s="4"/>
      <c r="E344" s="17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7.25" x14ac:dyDescent="0.15">
      <c r="A345" s="4"/>
      <c r="B345" s="4"/>
      <c r="C345" s="4"/>
      <c r="D345" s="4"/>
      <c r="E345" s="17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7.25" x14ac:dyDescent="0.15">
      <c r="A346" s="4"/>
      <c r="B346" s="4"/>
      <c r="C346" s="4"/>
      <c r="D346" s="4"/>
      <c r="E346" s="17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7.25" x14ac:dyDescent="0.15">
      <c r="A347" s="4"/>
      <c r="B347" s="4"/>
      <c r="C347" s="4"/>
      <c r="D347" s="4"/>
      <c r="E347" s="17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7.25" x14ac:dyDescent="0.15">
      <c r="A348" s="4"/>
      <c r="B348" s="4"/>
      <c r="C348" s="4"/>
      <c r="D348" s="4"/>
      <c r="E348" s="17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7.25" x14ac:dyDescent="0.15">
      <c r="A349" s="4"/>
      <c r="B349" s="4"/>
      <c r="C349" s="4"/>
      <c r="D349" s="4"/>
      <c r="E349" s="17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7.25" x14ac:dyDescent="0.15">
      <c r="A350" s="4"/>
      <c r="B350" s="4"/>
      <c r="C350" s="4"/>
      <c r="D350" s="4"/>
      <c r="E350" s="17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7.25" x14ac:dyDescent="0.15">
      <c r="A351" s="4"/>
      <c r="B351" s="4"/>
      <c r="C351" s="4"/>
      <c r="D351" s="4"/>
      <c r="E351" s="17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7.25" x14ac:dyDescent="0.15">
      <c r="A352" s="4"/>
      <c r="B352" s="4"/>
      <c r="C352" s="4"/>
      <c r="D352" s="4"/>
      <c r="E352" s="17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7.25" x14ac:dyDescent="0.15">
      <c r="A353" s="4"/>
      <c r="B353" s="4"/>
      <c r="C353" s="4"/>
      <c r="D353" s="4"/>
      <c r="E353" s="17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7.25" x14ac:dyDescent="0.15">
      <c r="A354" s="4"/>
      <c r="B354" s="4"/>
      <c r="C354" s="4"/>
      <c r="D354" s="4"/>
      <c r="E354" s="17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7.25" x14ac:dyDescent="0.15">
      <c r="A355" s="4"/>
      <c r="B355" s="4"/>
      <c r="C355" s="4"/>
      <c r="D355" s="4"/>
      <c r="E355" s="17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7.25" x14ac:dyDescent="0.15">
      <c r="A356" s="4"/>
      <c r="B356" s="4"/>
      <c r="C356" s="4"/>
      <c r="D356" s="4"/>
      <c r="E356" s="17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7.25" x14ac:dyDescent="0.15">
      <c r="A357" s="4"/>
      <c r="B357" s="4"/>
      <c r="C357" s="4"/>
      <c r="D357" s="4"/>
      <c r="E357" s="17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7.25" x14ac:dyDescent="0.15">
      <c r="A358" s="4"/>
      <c r="B358" s="4"/>
      <c r="C358" s="4"/>
      <c r="D358" s="4"/>
      <c r="E358" s="17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7.25" x14ac:dyDescent="0.15">
      <c r="A359" s="4"/>
      <c r="B359" s="4"/>
      <c r="C359" s="4"/>
      <c r="D359" s="4"/>
      <c r="E359" s="17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7.25" x14ac:dyDescent="0.15">
      <c r="A360" s="4"/>
      <c r="B360" s="4"/>
      <c r="C360" s="4"/>
      <c r="D360" s="4"/>
      <c r="E360" s="17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7.25" x14ac:dyDescent="0.15">
      <c r="A361" s="4"/>
      <c r="B361" s="4"/>
      <c r="C361" s="4"/>
      <c r="D361" s="4"/>
      <c r="E361" s="17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7.25" x14ac:dyDescent="0.15">
      <c r="A362" s="4"/>
      <c r="B362" s="4"/>
      <c r="C362" s="4"/>
      <c r="D362" s="4"/>
      <c r="E362" s="17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7.25" x14ac:dyDescent="0.15">
      <c r="A363" s="4"/>
      <c r="B363" s="4"/>
      <c r="C363" s="4"/>
      <c r="D363" s="4"/>
      <c r="E363" s="17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7.25" x14ac:dyDescent="0.15">
      <c r="A364" s="4"/>
      <c r="B364" s="4"/>
      <c r="C364" s="4"/>
      <c r="D364" s="4"/>
      <c r="E364" s="17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7.25" x14ac:dyDescent="0.15">
      <c r="A365" s="4"/>
      <c r="B365" s="4"/>
      <c r="C365" s="4"/>
      <c r="D365" s="4"/>
      <c r="E365" s="17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7.25" x14ac:dyDescent="0.15">
      <c r="A366" s="4"/>
      <c r="B366" s="4"/>
      <c r="C366" s="4"/>
      <c r="D366" s="4"/>
      <c r="E366" s="17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7.25" x14ac:dyDescent="0.15">
      <c r="A367" s="4"/>
      <c r="B367" s="4"/>
      <c r="C367" s="4"/>
      <c r="D367" s="4"/>
      <c r="E367" s="17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7.25" x14ac:dyDescent="0.15">
      <c r="A368" s="4"/>
      <c r="B368" s="4"/>
      <c r="C368" s="4"/>
      <c r="D368" s="4"/>
      <c r="E368" s="17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7.25" x14ac:dyDescent="0.15">
      <c r="A369" s="4"/>
      <c r="B369" s="4"/>
      <c r="C369" s="4"/>
      <c r="D369" s="4"/>
      <c r="E369" s="17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7.25" x14ac:dyDescent="0.15">
      <c r="A370" s="4"/>
      <c r="B370" s="4"/>
      <c r="C370" s="4"/>
      <c r="D370" s="4"/>
      <c r="E370" s="17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7.25" x14ac:dyDescent="0.15">
      <c r="A371" s="4"/>
      <c r="B371" s="4"/>
      <c r="C371" s="4"/>
      <c r="D371" s="4"/>
      <c r="E371" s="17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7.25" x14ac:dyDescent="0.15">
      <c r="A372" s="4"/>
      <c r="B372" s="4"/>
      <c r="C372" s="4"/>
      <c r="D372" s="4"/>
      <c r="E372" s="17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7.25" x14ac:dyDescent="0.15">
      <c r="A373" s="4"/>
      <c r="B373" s="4"/>
      <c r="C373" s="4"/>
      <c r="D373" s="4"/>
      <c r="E373" s="17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7.25" x14ac:dyDescent="0.15">
      <c r="A374" s="4"/>
      <c r="B374" s="4"/>
      <c r="C374" s="4"/>
      <c r="D374" s="4"/>
      <c r="E374" s="17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7.25" x14ac:dyDescent="0.15">
      <c r="A375" s="4"/>
      <c r="B375" s="4"/>
      <c r="C375" s="4"/>
      <c r="D375" s="4"/>
      <c r="E375" s="17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7.25" x14ac:dyDescent="0.15">
      <c r="A376" s="4"/>
      <c r="B376" s="4"/>
      <c r="C376" s="4"/>
      <c r="D376" s="4"/>
      <c r="E376" s="17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7.25" x14ac:dyDescent="0.15">
      <c r="A377" s="4"/>
      <c r="B377" s="4"/>
      <c r="C377" s="4"/>
      <c r="D377" s="4"/>
      <c r="E377" s="17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7.25" x14ac:dyDescent="0.15">
      <c r="A378" s="4"/>
      <c r="B378" s="4"/>
      <c r="C378" s="4"/>
      <c r="D378" s="4"/>
      <c r="E378" s="17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7.25" x14ac:dyDescent="0.15">
      <c r="A379" s="4"/>
      <c r="B379" s="4"/>
      <c r="C379" s="4"/>
      <c r="D379" s="4"/>
      <c r="E379" s="17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7.25" x14ac:dyDescent="0.15">
      <c r="A380" s="4"/>
      <c r="B380" s="4"/>
      <c r="C380" s="4"/>
      <c r="D380" s="4"/>
      <c r="E380" s="17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7.25" x14ac:dyDescent="0.15">
      <c r="A381" s="4"/>
      <c r="B381" s="4"/>
      <c r="C381" s="4"/>
      <c r="D381" s="4"/>
      <c r="E381" s="17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7.25" x14ac:dyDescent="0.15">
      <c r="A382" s="4"/>
      <c r="B382" s="4"/>
      <c r="C382" s="4"/>
      <c r="D382" s="4"/>
      <c r="E382" s="17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7.25" x14ac:dyDescent="0.15">
      <c r="A383" s="4"/>
      <c r="B383" s="4"/>
      <c r="C383" s="4"/>
      <c r="D383" s="4"/>
      <c r="E383" s="17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7.25" x14ac:dyDescent="0.15">
      <c r="A384" s="4"/>
      <c r="B384" s="4"/>
      <c r="C384" s="4"/>
      <c r="D384" s="4"/>
      <c r="E384" s="17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7.25" x14ac:dyDescent="0.15">
      <c r="A385" s="4"/>
      <c r="B385" s="4"/>
      <c r="C385" s="4"/>
      <c r="D385" s="4"/>
      <c r="E385" s="17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7.25" x14ac:dyDescent="0.15">
      <c r="A386" s="4"/>
      <c r="B386" s="4"/>
      <c r="C386" s="4"/>
      <c r="D386" s="4"/>
      <c r="E386" s="17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7.25" x14ac:dyDescent="0.15">
      <c r="A387" s="4"/>
      <c r="B387" s="4"/>
      <c r="C387" s="4"/>
      <c r="D387" s="4"/>
      <c r="E387" s="17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7.25" x14ac:dyDescent="0.15">
      <c r="A388" s="4"/>
      <c r="B388" s="4"/>
      <c r="C388" s="4"/>
      <c r="D388" s="4"/>
      <c r="E388" s="17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7.25" x14ac:dyDescent="0.15">
      <c r="A389" s="4"/>
      <c r="B389" s="4"/>
      <c r="C389" s="4"/>
      <c r="D389" s="4"/>
      <c r="E389" s="17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7.25" x14ac:dyDescent="0.15">
      <c r="A390" s="4"/>
      <c r="B390" s="4"/>
      <c r="C390" s="4"/>
      <c r="D390" s="4"/>
      <c r="E390" s="17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7.25" x14ac:dyDescent="0.15">
      <c r="A391" s="4"/>
      <c r="B391" s="4"/>
      <c r="C391" s="4"/>
      <c r="D391" s="4"/>
      <c r="E391" s="17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7.25" x14ac:dyDescent="0.15">
      <c r="A392" s="4"/>
      <c r="B392" s="4"/>
      <c r="C392" s="4"/>
      <c r="D392" s="4"/>
      <c r="E392" s="17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7.25" x14ac:dyDescent="0.15">
      <c r="A393" s="4"/>
      <c r="B393" s="4"/>
      <c r="C393" s="4"/>
      <c r="D393" s="4"/>
      <c r="E393" s="17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7.25" x14ac:dyDescent="0.15">
      <c r="A394" s="4"/>
      <c r="B394" s="4"/>
      <c r="C394" s="4"/>
      <c r="D394" s="4"/>
      <c r="E394" s="17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7.25" x14ac:dyDescent="0.15">
      <c r="A395" s="4"/>
      <c r="B395" s="4"/>
      <c r="C395" s="4"/>
      <c r="D395" s="4"/>
      <c r="E395" s="17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7.25" x14ac:dyDescent="0.15">
      <c r="A396" s="4"/>
      <c r="B396" s="4"/>
      <c r="C396" s="4"/>
      <c r="D396" s="4"/>
      <c r="E396" s="17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7.25" x14ac:dyDescent="0.15">
      <c r="A397" s="4"/>
      <c r="B397" s="4"/>
      <c r="C397" s="4"/>
      <c r="D397" s="4"/>
      <c r="E397" s="17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7.25" x14ac:dyDescent="0.15">
      <c r="A398" s="4"/>
      <c r="B398" s="4"/>
      <c r="C398" s="4"/>
      <c r="D398" s="4"/>
      <c r="E398" s="17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7.25" x14ac:dyDescent="0.15">
      <c r="A399" s="4"/>
      <c r="B399" s="4"/>
      <c r="C399" s="4"/>
      <c r="D399" s="4"/>
      <c r="E399" s="17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7.25" x14ac:dyDescent="0.15">
      <c r="A400" s="4"/>
      <c r="B400" s="4"/>
      <c r="C400" s="4"/>
      <c r="D400" s="4"/>
      <c r="E400" s="17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7.25" x14ac:dyDescent="0.15">
      <c r="A401" s="4"/>
      <c r="B401" s="4"/>
      <c r="C401" s="4"/>
      <c r="D401" s="4"/>
      <c r="E401" s="17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7.25" x14ac:dyDescent="0.15">
      <c r="A402" s="4"/>
      <c r="B402" s="4"/>
      <c r="C402" s="4"/>
      <c r="D402" s="4"/>
      <c r="E402" s="17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7.25" x14ac:dyDescent="0.15">
      <c r="A403" s="4"/>
      <c r="B403" s="4"/>
      <c r="C403" s="4"/>
      <c r="D403" s="4"/>
      <c r="E403" s="17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7.25" x14ac:dyDescent="0.15">
      <c r="A404" s="4"/>
      <c r="B404" s="4"/>
      <c r="C404" s="4"/>
      <c r="D404" s="4"/>
      <c r="E404" s="17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7.25" x14ac:dyDescent="0.15">
      <c r="A405" s="4"/>
      <c r="B405" s="4"/>
      <c r="C405" s="4"/>
      <c r="D405" s="4"/>
      <c r="E405" s="17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7.25" x14ac:dyDescent="0.15">
      <c r="A406" s="4"/>
      <c r="B406" s="4"/>
      <c r="C406" s="4"/>
      <c r="D406" s="4"/>
      <c r="E406" s="17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7.25" x14ac:dyDescent="0.15">
      <c r="A407" s="4"/>
      <c r="B407" s="4"/>
      <c r="C407" s="4"/>
      <c r="D407" s="4"/>
      <c r="E407" s="17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7.25" x14ac:dyDescent="0.15">
      <c r="A408" s="4"/>
      <c r="B408" s="4"/>
      <c r="C408" s="4"/>
      <c r="D408" s="4"/>
      <c r="E408" s="17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7.25" x14ac:dyDescent="0.15">
      <c r="A409" s="4"/>
      <c r="B409" s="4"/>
      <c r="C409" s="4"/>
      <c r="D409" s="4"/>
      <c r="E409" s="17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7.25" x14ac:dyDescent="0.15">
      <c r="A410" s="4"/>
      <c r="B410" s="4"/>
      <c r="C410" s="4"/>
      <c r="D410" s="4"/>
      <c r="E410" s="17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7.25" x14ac:dyDescent="0.15">
      <c r="A411" s="4"/>
      <c r="B411" s="4"/>
      <c r="C411" s="4"/>
      <c r="D411" s="4"/>
      <c r="E411" s="17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7.25" x14ac:dyDescent="0.15">
      <c r="A412" s="4"/>
      <c r="B412" s="4"/>
      <c r="C412" s="4"/>
      <c r="D412" s="4"/>
      <c r="E412" s="17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7.25" x14ac:dyDescent="0.15">
      <c r="A413" s="4"/>
      <c r="B413" s="4"/>
      <c r="C413" s="4"/>
      <c r="D413" s="4"/>
      <c r="E413" s="17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7.25" x14ac:dyDescent="0.15">
      <c r="A414" s="4"/>
      <c r="B414" s="4"/>
      <c r="C414" s="4"/>
      <c r="D414" s="4"/>
      <c r="E414" s="17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7.25" x14ac:dyDescent="0.15">
      <c r="A415" s="4"/>
      <c r="B415" s="4"/>
      <c r="C415" s="4"/>
      <c r="D415" s="4"/>
      <c r="E415" s="17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7.25" x14ac:dyDescent="0.15">
      <c r="A416" s="4"/>
      <c r="B416" s="4"/>
      <c r="C416" s="4"/>
      <c r="D416" s="4"/>
      <c r="E416" s="17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7.25" x14ac:dyDescent="0.15">
      <c r="A417" s="4"/>
      <c r="B417" s="4"/>
      <c r="C417" s="4"/>
      <c r="D417" s="4"/>
      <c r="E417" s="17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7.25" x14ac:dyDescent="0.15">
      <c r="A418" s="4"/>
      <c r="B418" s="4"/>
      <c r="C418" s="4"/>
      <c r="D418" s="4"/>
      <c r="E418" s="17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7.25" x14ac:dyDescent="0.15">
      <c r="A419" s="4"/>
      <c r="B419" s="4"/>
      <c r="C419" s="4"/>
      <c r="D419" s="4"/>
      <c r="E419" s="17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7.25" x14ac:dyDescent="0.15">
      <c r="A420" s="4"/>
      <c r="B420" s="4"/>
      <c r="C420" s="4"/>
      <c r="D420" s="4"/>
      <c r="E420" s="17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7.25" x14ac:dyDescent="0.15">
      <c r="A421" s="4"/>
      <c r="B421" s="4"/>
      <c r="C421" s="4"/>
      <c r="D421" s="4"/>
      <c r="E421" s="17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7.25" x14ac:dyDescent="0.15">
      <c r="A422" s="4"/>
      <c r="B422" s="4"/>
      <c r="C422" s="4"/>
      <c r="D422" s="4"/>
      <c r="E422" s="17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7.25" x14ac:dyDescent="0.15">
      <c r="A423" s="4"/>
      <c r="B423" s="4"/>
      <c r="C423" s="4"/>
      <c r="D423" s="4"/>
      <c r="E423" s="17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7.25" x14ac:dyDescent="0.15">
      <c r="A424" s="4"/>
      <c r="B424" s="4"/>
      <c r="C424" s="4"/>
      <c r="D424" s="4"/>
      <c r="E424" s="17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7.25" x14ac:dyDescent="0.15">
      <c r="A425" s="4"/>
      <c r="B425" s="4"/>
      <c r="C425" s="4"/>
      <c r="D425" s="4"/>
      <c r="E425" s="17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7.25" x14ac:dyDescent="0.15">
      <c r="A426" s="4"/>
      <c r="B426" s="4"/>
      <c r="C426" s="4"/>
      <c r="D426" s="4"/>
      <c r="E426" s="17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7.25" x14ac:dyDescent="0.15">
      <c r="A427" s="4"/>
      <c r="B427" s="4"/>
      <c r="C427" s="4"/>
      <c r="D427" s="4"/>
      <c r="E427" s="17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7.25" x14ac:dyDescent="0.15">
      <c r="A428" s="4"/>
      <c r="B428" s="4"/>
      <c r="C428" s="4"/>
      <c r="D428" s="4"/>
      <c r="E428" s="17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7.25" x14ac:dyDescent="0.15">
      <c r="A429" s="4"/>
      <c r="B429" s="4"/>
      <c r="C429" s="4"/>
      <c r="D429" s="4"/>
      <c r="E429" s="17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7.25" x14ac:dyDescent="0.15">
      <c r="A430" s="4"/>
      <c r="B430" s="4"/>
      <c r="C430" s="4"/>
      <c r="D430" s="4"/>
      <c r="E430" s="17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7.25" x14ac:dyDescent="0.15">
      <c r="A431" s="4"/>
      <c r="B431" s="4"/>
      <c r="C431" s="4"/>
      <c r="D431" s="4"/>
      <c r="E431" s="17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7.25" x14ac:dyDescent="0.15">
      <c r="A432" s="4"/>
      <c r="B432" s="4"/>
      <c r="C432" s="4"/>
      <c r="D432" s="4"/>
      <c r="E432" s="17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7.25" x14ac:dyDescent="0.15">
      <c r="A433" s="4"/>
      <c r="B433" s="4"/>
      <c r="C433" s="4"/>
      <c r="D433" s="4"/>
      <c r="E433" s="17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7.25" x14ac:dyDescent="0.15">
      <c r="A434" s="4"/>
      <c r="B434" s="4"/>
      <c r="C434" s="4"/>
      <c r="D434" s="4"/>
      <c r="E434" s="17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7.25" x14ac:dyDescent="0.15">
      <c r="A435" s="4"/>
      <c r="B435" s="4"/>
      <c r="C435" s="4"/>
      <c r="D435" s="4"/>
      <c r="E435" s="17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7.25" x14ac:dyDescent="0.15">
      <c r="A436" s="4"/>
      <c r="B436" s="4"/>
      <c r="C436" s="4"/>
      <c r="D436" s="4"/>
      <c r="E436" s="17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7.25" x14ac:dyDescent="0.15">
      <c r="A437" s="4"/>
      <c r="B437" s="4"/>
      <c r="C437" s="4"/>
      <c r="D437" s="4"/>
      <c r="E437" s="17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7.25" x14ac:dyDescent="0.15">
      <c r="A438" s="4"/>
      <c r="B438" s="4"/>
      <c r="C438" s="4"/>
      <c r="D438" s="4"/>
      <c r="E438" s="17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7.25" x14ac:dyDescent="0.15">
      <c r="A439" s="4"/>
      <c r="B439" s="4"/>
      <c r="C439" s="4"/>
      <c r="D439" s="4"/>
      <c r="E439" s="17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7.25" x14ac:dyDescent="0.15">
      <c r="A440" s="4"/>
      <c r="B440" s="4"/>
      <c r="C440" s="4"/>
      <c r="D440" s="4"/>
      <c r="E440" s="17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7.25" x14ac:dyDescent="0.15">
      <c r="A441" s="4"/>
      <c r="B441" s="4"/>
      <c r="C441" s="4"/>
      <c r="D441" s="4"/>
      <c r="E441" s="17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7.25" x14ac:dyDescent="0.15">
      <c r="A442" s="4"/>
      <c r="B442" s="4"/>
      <c r="C442" s="4"/>
      <c r="D442" s="4"/>
      <c r="E442" s="17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7.25" x14ac:dyDescent="0.15">
      <c r="A443" s="4"/>
      <c r="B443" s="4"/>
      <c r="C443" s="4"/>
      <c r="D443" s="4"/>
      <c r="E443" s="17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7.25" x14ac:dyDescent="0.15">
      <c r="A444" s="4"/>
      <c r="B444" s="4"/>
      <c r="C444" s="4"/>
      <c r="D444" s="4"/>
      <c r="E444" s="17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7.25" x14ac:dyDescent="0.15">
      <c r="A445" s="4"/>
      <c r="B445" s="4"/>
      <c r="C445" s="4"/>
      <c r="D445" s="4"/>
      <c r="E445" s="17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7.25" x14ac:dyDescent="0.15">
      <c r="A446" s="4"/>
      <c r="B446" s="4"/>
      <c r="C446" s="4"/>
      <c r="D446" s="4"/>
      <c r="E446" s="17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7.25" x14ac:dyDescent="0.15">
      <c r="A447" s="4"/>
      <c r="B447" s="4"/>
      <c r="C447" s="4"/>
      <c r="D447" s="4"/>
      <c r="E447" s="17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7.25" x14ac:dyDescent="0.15">
      <c r="A448" s="4"/>
      <c r="B448" s="4"/>
      <c r="C448" s="4"/>
      <c r="D448" s="4"/>
      <c r="E448" s="17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7.25" x14ac:dyDescent="0.15">
      <c r="A449" s="4"/>
      <c r="B449" s="4"/>
      <c r="C449" s="4"/>
      <c r="D449" s="4"/>
      <c r="E449" s="17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7.25" x14ac:dyDescent="0.15">
      <c r="A450" s="4"/>
      <c r="B450" s="4"/>
      <c r="C450" s="4"/>
      <c r="D450" s="4"/>
      <c r="E450" s="17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7.25" x14ac:dyDescent="0.15">
      <c r="A451" s="4"/>
      <c r="B451" s="4"/>
      <c r="C451" s="4"/>
      <c r="D451" s="4"/>
      <c r="E451" s="17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7.25" x14ac:dyDescent="0.15">
      <c r="A452" s="4"/>
      <c r="B452" s="4"/>
      <c r="C452" s="4"/>
      <c r="D452" s="4"/>
      <c r="E452" s="17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7.25" x14ac:dyDescent="0.15">
      <c r="A453" s="4"/>
      <c r="B453" s="4"/>
      <c r="C453" s="4"/>
      <c r="D453" s="4"/>
      <c r="E453" s="17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7.25" x14ac:dyDescent="0.15">
      <c r="A454" s="4"/>
      <c r="B454" s="4"/>
      <c r="C454" s="4"/>
      <c r="D454" s="4"/>
      <c r="E454" s="17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7.25" x14ac:dyDescent="0.15">
      <c r="A455" s="4"/>
      <c r="B455" s="4"/>
      <c r="C455" s="4"/>
      <c r="D455" s="4"/>
      <c r="E455" s="17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7.25" x14ac:dyDescent="0.15">
      <c r="A456" s="4"/>
      <c r="B456" s="4"/>
      <c r="C456" s="4"/>
      <c r="D456" s="4"/>
      <c r="E456" s="17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7.25" x14ac:dyDescent="0.15">
      <c r="A457" s="4"/>
      <c r="B457" s="4"/>
      <c r="C457" s="4"/>
      <c r="D457" s="4"/>
      <c r="E457" s="17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7.25" x14ac:dyDescent="0.15">
      <c r="A458" s="4"/>
      <c r="B458" s="4"/>
      <c r="C458" s="4"/>
      <c r="D458" s="4"/>
      <c r="E458" s="17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7.25" x14ac:dyDescent="0.15">
      <c r="A459" s="4"/>
      <c r="B459" s="4"/>
      <c r="C459" s="4"/>
      <c r="D459" s="4"/>
      <c r="E459" s="17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7.25" x14ac:dyDescent="0.15">
      <c r="A460" s="4"/>
      <c r="B460" s="4"/>
      <c r="C460" s="4"/>
      <c r="D460" s="4"/>
      <c r="E460" s="17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7.25" x14ac:dyDescent="0.15">
      <c r="A461" s="4"/>
      <c r="B461" s="4"/>
      <c r="C461" s="4"/>
      <c r="D461" s="4"/>
      <c r="E461" s="17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7.25" x14ac:dyDescent="0.15">
      <c r="A462" s="4"/>
      <c r="B462" s="4"/>
      <c r="C462" s="4"/>
      <c r="D462" s="4"/>
      <c r="E462" s="17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7.25" x14ac:dyDescent="0.15">
      <c r="A463" s="4"/>
      <c r="B463" s="4"/>
      <c r="C463" s="4"/>
      <c r="D463" s="4"/>
      <c r="E463" s="17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7.25" x14ac:dyDescent="0.15">
      <c r="A464" s="4"/>
      <c r="B464" s="4"/>
      <c r="C464" s="4"/>
      <c r="D464" s="4"/>
      <c r="E464" s="17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7.25" x14ac:dyDescent="0.15">
      <c r="A465" s="4"/>
      <c r="B465" s="4"/>
      <c r="C465" s="4"/>
      <c r="D465" s="4"/>
      <c r="E465" s="17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7.25" x14ac:dyDescent="0.15">
      <c r="A466" s="4"/>
      <c r="B466" s="4"/>
      <c r="C466" s="4"/>
      <c r="D466" s="4"/>
      <c r="E466" s="17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7.25" x14ac:dyDescent="0.15">
      <c r="A467" s="4"/>
      <c r="B467" s="4"/>
      <c r="C467" s="4"/>
      <c r="D467" s="4"/>
      <c r="E467" s="17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7.25" x14ac:dyDescent="0.15">
      <c r="A468" s="4"/>
      <c r="B468" s="4"/>
      <c r="C468" s="4"/>
      <c r="D468" s="4"/>
      <c r="E468" s="17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7.25" x14ac:dyDescent="0.15">
      <c r="A469" s="4"/>
      <c r="B469" s="4"/>
      <c r="C469" s="4"/>
      <c r="D469" s="4"/>
      <c r="E469" s="17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7.25" x14ac:dyDescent="0.15">
      <c r="A470" s="4"/>
      <c r="B470" s="4"/>
      <c r="C470" s="4"/>
      <c r="D470" s="4"/>
      <c r="E470" s="17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7.25" x14ac:dyDescent="0.15">
      <c r="A471" s="4"/>
      <c r="B471" s="4"/>
      <c r="C471" s="4"/>
      <c r="D471" s="4"/>
      <c r="E471" s="17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7.25" x14ac:dyDescent="0.15">
      <c r="A472" s="4"/>
      <c r="B472" s="4"/>
      <c r="C472" s="4"/>
      <c r="D472" s="4"/>
      <c r="E472" s="17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7.25" x14ac:dyDescent="0.15">
      <c r="A473" s="4"/>
      <c r="B473" s="4"/>
      <c r="C473" s="4"/>
      <c r="D473" s="4"/>
      <c r="E473" s="17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7.25" x14ac:dyDescent="0.15">
      <c r="A474" s="4"/>
      <c r="B474" s="4"/>
      <c r="C474" s="4"/>
      <c r="D474" s="4"/>
      <c r="E474" s="17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7.25" x14ac:dyDescent="0.15">
      <c r="A475" s="4"/>
      <c r="B475" s="4"/>
      <c r="C475" s="4"/>
      <c r="D475" s="4"/>
      <c r="E475" s="17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7.25" x14ac:dyDescent="0.15">
      <c r="A476" s="4"/>
      <c r="B476" s="4"/>
      <c r="C476" s="4"/>
      <c r="D476" s="4"/>
      <c r="E476" s="17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7.25" x14ac:dyDescent="0.15">
      <c r="A477" s="4"/>
      <c r="B477" s="4"/>
      <c r="C477" s="4"/>
      <c r="D477" s="4"/>
      <c r="E477" s="17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7.25" x14ac:dyDescent="0.15">
      <c r="A478" s="4"/>
      <c r="B478" s="4"/>
      <c r="C478" s="4"/>
      <c r="D478" s="4"/>
      <c r="E478" s="17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7.25" x14ac:dyDescent="0.15">
      <c r="A479" s="4"/>
      <c r="B479" s="4"/>
      <c r="C479" s="4"/>
      <c r="D479" s="4"/>
      <c r="E479" s="17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7.25" x14ac:dyDescent="0.15">
      <c r="A480" s="4"/>
      <c r="B480" s="4"/>
      <c r="C480" s="4"/>
      <c r="D480" s="4"/>
      <c r="E480" s="17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7.25" x14ac:dyDescent="0.15">
      <c r="A481" s="4"/>
      <c r="B481" s="4"/>
      <c r="C481" s="4"/>
      <c r="D481" s="4"/>
      <c r="E481" s="17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7.25" x14ac:dyDescent="0.15">
      <c r="A482" s="4"/>
      <c r="B482" s="4"/>
      <c r="C482" s="4"/>
      <c r="D482" s="4"/>
      <c r="E482" s="17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7.25" x14ac:dyDescent="0.15">
      <c r="A483" s="4"/>
      <c r="B483" s="4"/>
      <c r="C483" s="4"/>
      <c r="D483" s="4"/>
      <c r="E483" s="17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7.25" x14ac:dyDescent="0.15">
      <c r="A484" s="4"/>
      <c r="B484" s="4"/>
      <c r="C484" s="4"/>
      <c r="D484" s="4"/>
      <c r="E484" s="17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7.25" x14ac:dyDescent="0.15">
      <c r="A485" s="4"/>
      <c r="B485" s="4"/>
      <c r="C485" s="4"/>
      <c r="D485" s="4"/>
      <c r="E485" s="17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7.25" x14ac:dyDescent="0.15">
      <c r="A486" s="4"/>
      <c r="B486" s="4"/>
      <c r="C486" s="4"/>
      <c r="D486" s="4"/>
      <c r="E486" s="17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7.25" x14ac:dyDescent="0.15">
      <c r="A487" s="4"/>
      <c r="B487" s="4"/>
      <c r="C487" s="4"/>
      <c r="D487" s="4"/>
      <c r="E487" s="17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7.25" x14ac:dyDescent="0.15">
      <c r="A488" s="4"/>
      <c r="B488" s="4"/>
      <c r="C488" s="4"/>
      <c r="D488" s="4"/>
      <c r="E488" s="17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7.25" x14ac:dyDescent="0.15">
      <c r="A489" s="4"/>
      <c r="B489" s="4"/>
      <c r="C489" s="4"/>
      <c r="D489" s="4"/>
      <c r="E489" s="17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7.25" x14ac:dyDescent="0.15">
      <c r="A490" s="4"/>
      <c r="B490" s="4"/>
      <c r="C490" s="4"/>
      <c r="D490" s="4"/>
      <c r="E490" s="17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7.25" x14ac:dyDescent="0.15">
      <c r="A491" s="4"/>
      <c r="B491" s="4"/>
      <c r="C491" s="4"/>
      <c r="D491" s="4"/>
      <c r="E491" s="17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7.25" x14ac:dyDescent="0.15">
      <c r="A492" s="4"/>
      <c r="B492" s="4"/>
      <c r="C492" s="4"/>
      <c r="D492" s="4"/>
      <c r="E492" s="17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7.25" x14ac:dyDescent="0.15">
      <c r="A493" s="4"/>
      <c r="B493" s="4"/>
      <c r="C493" s="4"/>
      <c r="D493" s="4"/>
      <c r="E493" s="17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7.25" x14ac:dyDescent="0.15">
      <c r="A494" s="4"/>
      <c r="B494" s="4"/>
      <c r="C494" s="4"/>
      <c r="D494" s="4"/>
      <c r="E494" s="17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7.25" x14ac:dyDescent="0.15">
      <c r="A495" s="4"/>
      <c r="B495" s="4"/>
      <c r="C495" s="4"/>
      <c r="D495" s="4"/>
      <c r="E495" s="17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7.25" x14ac:dyDescent="0.15">
      <c r="A496" s="4"/>
      <c r="B496" s="4"/>
      <c r="C496" s="4"/>
      <c r="D496" s="4"/>
      <c r="E496" s="17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7.25" x14ac:dyDescent="0.15">
      <c r="A497" s="4"/>
      <c r="B497" s="4"/>
      <c r="C497" s="4"/>
      <c r="D497" s="4"/>
      <c r="E497" s="17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7.25" x14ac:dyDescent="0.15">
      <c r="A498" s="4"/>
      <c r="B498" s="4"/>
      <c r="C498" s="4"/>
      <c r="D498" s="4"/>
      <c r="E498" s="17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7.25" x14ac:dyDescent="0.15">
      <c r="A499" s="4"/>
      <c r="B499" s="4"/>
      <c r="C499" s="4"/>
      <c r="D499" s="4"/>
      <c r="E499" s="17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7.25" x14ac:dyDescent="0.15">
      <c r="A500" s="4"/>
      <c r="B500" s="4"/>
      <c r="C500" s="4"/>
      <c r="D500" s="4"/>
      <c r="E500" s="17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7.25" x14ac:dyDescent="0.15">
      <c r="A501" s="4"/>
      <c r="B501" s="4"/>
      <c r="C501" s="4"/>
      <c r="D501" s="4"/>
      <c r="E501" s="17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7.25" x14ac:dyDescent="0.15">
      <c r="A502" s="4"/>
      <c r="B502" s="4"/>
      <c r="C502" s="4"/>
      <c r="D502" s="4"/>
      <c r="E502" s="17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7.25" x14ac:dyDescent="0.15">
      <c r="A503" s="4"/>
      <c r="B503" s="4"/>
      <c r="C503" s="4"/>
      <c r="D503" s="4"/>
      <c r="E503" s="17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7.25" x14ac:dyDescent="0.15">
      <c r="A504" s="4"/>
      <c r="B504" s="4"/>
      <c r="C504" s="4"/>
      <c r="D504" s="4"/>
      <c r="E504" s="17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7.25" x14ac:dyDescent="0.15">
      <c r="A505" s="4"/>
      <c r="B505" s="4"/>
      <c r="C505" s="4"/>
      <c r="D505" s="4"/>
      <c r="E505" s="17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7.25" x14ac:dyDescent="0.15">
      <c r="A506" s="4"/>
      <c r="B506" s="4"/>
      <c r="C506" s="4"/>
      <c r="D506" s="4"/>
      <c r="E506" s="17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7.25" x14ac:dyDescent="0.15">
      <c r="A507" s="4"/>
      <c r="B507" s="4"/>
      <c r="C507" s="4"/>
      <c r="D507" s="4"/>
      <c r="E507" s="17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7.25" x14ac:dyDescent="0.15">
      <c r="A508" s="4"/>
      <c r="B508" s="4"/>
      <c r="C508" s="4"/>
      <c r="D508" s="4"/>
      <c r="E508" s="17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7.25" x14ac:dyDescent="0.15">
      <c r="A509" s="4"/>
      <c r="B509" s="4"/>
      <c r="C509" s="4"/>
      <c r="D509" s="4"/>
      <c r="E509" s="17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7.25" x14ac:dyDescent="0.15">
      <c r="A510" s="4"/>
      <c r="B510" s="4"/>
      <c r="C510" s="4"/>
      <c r="D510" s="4"/>
      <c r="E510" s="17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7.25" x14ac:dyDescent="0.15">
      <c r="A511" s="4"/>
      <c r="B511" s="4"/>
      <c r="C511" s="4"/>
      <c r="D511" s="4"/>
      <c r="E511" s="17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7.25" x14ac:dyDescent="0.15">
      <c r="A512" s="4"/>
      <c r="B512" s="4"/>
      <c r="C512" s="4"/>
      <c r="D512" s="4"/>
      <c r="E512" s="17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7.25" x14ac:dyDescent="0.15">
      <c r="A513" s="4"/>
      <c r="B513" s="4"/>
      <c r="C513" s="4"/>
      <c r="D513" s="4"/>
      <c r="E513" s="17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7.25" x14ac:dyDescent="0.15">
      <c r="A514" s="4"/>
      <c r="B514" s="4"/>
      <c r="C514" s="4"/>
      <c r="D514" s="4"/>
      <c r="E514" s="17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7.25" x14ac:dyDescent="0.15">
      <c r="A515" s="4"/>
      <c r="B515" s="4"/>
      <c r="C515" s="4"/>
      <c r="D515" s="4"/>
      <c r="E515" s="17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7.25" x14ac:dyDescent="0.15">
      <c r="A516" s="4"/>
      <c r="B516" s="4"/>
      <c r="C516" s="4"/>
      <c r="D516" s="4"/>
      <c r="E516" s="17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7.25" x14ac:dyDescent="0.15">
      <c r="A517" s="4"/>
      <c r="B517" s="4"/>
      <c r="C517" s="4"/>
      <c r="D517" s="4"/>
      <c r="E517" s="17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7.25" x14ac:dyDescent="0.15">
      <c r="A518" s="4"/>
      <c r="B518" s="4"/>
      <c r="C518" s="4"/>
      <c r="D518" s="4"/>
      <c r="E518" s="17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7.25" x14ac:dyDescent="0.15">
      <c r="A519" s="4"/>
      <c r="B519" s="4"/>
      <c r="C519" s="4"/>
      <c r="D519" s="4"/>
      <c r="E519" s="17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7.25" x14ac:dyDescent="0.15">
      <c r="A520" s="4"/>
      <c r="B520" s="4"/>
      <c r="C520" s="4"/>
      <c r="D520" s="4"/>
      <c r="E520" s="17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7.25" x14ac:dyDescent="0.15">
      <c r="A521" s="4"/>
      <c r="B521" s="4"/>
      <c r="C521" s="4"/>
      <c r="D521" s="4"/>
      <c r="E521" s="17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7.25" x14ac:dyDescent="0.15">
      <c r="A522" s="4"/>
      <c r="B522" s="4"/>
      <c r="C522" s="4"/>
      <c r="D522" s="4"/>
      <c r="E522" s="17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7.25" x14ac:dyDescent="0.15">
      <c r="A523" s="4"/>
      <c r="B523" s="4"/>
      <c r="C523" s="4"/>
      <c r="D523" s="4"/>
      <c r="E523" s="17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7.25" x14ac:dyDescent="0.15">
      <c r="A524" s="4"/>
      <c r="B524" s="4"/>
      <c r="C524" s="4"/>
      <c r="D524" s="4"/>
      <c r="E524" s="17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7.25" x14ac:dyDescent="0.15">
      <c r="A525" s="4"/>
      <c r="B525" s="4"/>
      <c r="C525" s="4"/>
      <c r="D525" s="4"/>
      <c r="E525" s="17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7.25" x14ac:dyDescent="0.15">
      <c r="A526" s="4"/>
      <c r="B526" s="4"/>
      <c r="C526" s="4"/>
      <c r="D526" s="4"/>
      <c r="E526" s="17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7.25" x14ac:dyDescent="0.15">
      <c r="A527" s="4"/>
      <c r="B527" s="4"/>
      <c r="C527" s="4"/>
      <c r="D527" s="4"/>
      <c r="E527" s="17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7.25" x14ac:dyDescent="0.15">
      <c r="A528" s="4"/>
      <c r="B528" s="4"/>
      <c r="C528" s="4"/>
      <c r="D528" s="4"/>
      <c r="E528" s="17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7.25" x14ac:dyDescent="0.15">
      <c r="A529" s="4"/>
      <c r="B529" s="4"/>
      <c r="C529" s="4"/>
      <c r="D529" s="4"/>
      <c r="E529" s="17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7.25" x14ac:dyDescent="0.15">
      <c r="A530" s="4"/>
      <c r="B530" s="4"/>
      <c r="C530" s="4"/>
      <c r="D530" s="4"/>
      <c r="E530" s="17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7.25" x14ac:dyDescent="0.15">
      <c r="A531" s="4"/>
      <c r="B531" s="4"/>
      <c r="C531" s="4"/>
      <c r="D531" s="4"/>
      <c r="E531" s="17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7.25" x14ac:dyDescent="0.15">
      <c r="A532" s="4"/>
      <c r="B532" s="4"/>
      <c r="C532" s="4"/>
      <c r="D532" s="4"/>
      <c r="E532" s="17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7.25" x14ac:dyDescent="0.15">
      <c r="A533" s="4"/>
      <c r="B533" s="4"/>
      <c r="C533" s="4"/>
      <c r="D533" s="4"/>
      <c r="E533" s="17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7.25" x14ac:dyDescent="0.15">
      <c r="A534" s="4"/>
      <c r="B534" s="4"/>
      <c r="C534" s="4"/>
      <c r="D534" s="4"/>
      <c r="E534" s="17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7.25" x14ac:dyDescent="0.15">
      <c r="A535" s="4"/>
      <c r="B535" s="4"/>
      <c r="C535" s="4"/>
      <c r="D535" s="4"/>
      <c r="E535" s="17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7.25" x14ac:dyDescent="0.15">
      <c r="A536" s="4"/>
      <c r="B536" s="4"/>
      <c r="C536" s="4"/>
      <c r="D536" s="4"/>
      <c r="E536" s="17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7.25" x14ac:dyDescent="0.15">
      <c r="A537" s="4"/>
      <c r="B537" s="4"/>
      <c r="C537" s="4"/>
      <c r="D537" s="4"/>
      <c r="E537" s="17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7.25" x14ac:dyDescent="0.15">
      <c r="A538" s="4"/>
      <c r="B538" s="4"/>
      <c r="C538" s="4"/>
      <c r="D538" s="4"/>
      <c r="E538" s="17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7.25" x14ac:dyDescent="0.15">
      <c r="A539" s="4"/>
      <c r="B539" s="4"/>
      <c r="C539" s="4"/>
      <c r="D539" s="4"/>
      <c r="E539" s="17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7.25" x14ac:dyDescent="0.15">
      <c r="A540" s="4"/>
      <c r="B540" s="4"/>
      <c r="C540" s="4"/>
      <c r="D540" s="4"/>
      <c r="E540" s="17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7.25" x14ac:dyDescent="0.15">
      <c r="A541" s="4"/>
      <c r="B541" s="4"/>
      <c r="C541" s="4"/>
      <c r="D541" s="4"/>
      <c r="E541" s="17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7.25" x14ac:dyDescent="0.15">
      <c r="A542" s="4"/>
      <c r="B542" s="4"/>
      <c r="C542" s="4"/>
      <c r="D542" s="4"/>
      <c r="E542" s="17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7.25" x14ac:dyDescent="0.15">
      <c r="A543" s="4"/>
      <c r="B543" s="4"/>
      <c r="C543" s="4"/>
      <c r="D543" s="4"/>
      <c r="E543" s="17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7.25" x14ac:dyDescent="0.15">
      <c r="A544" s="4"/>
      <c r="B544" s="4"/>
      <c r="C544" s="4"/>
      <c r="D544" s="4"/>
      <c r="E544" s="17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7.25" x14ac:dyDescent="0.15">
      <c r="A545" s="4"/>
      <c r="B545" s="4"/>
      <c r="C545" s="4"/>
      <c r="D545" s="4"/>
      <c r="E545" s="17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7.25" x14ac:dyDescent="0.15">
      <c r="A546" s="4"/>
      <c r="B546" s="4"/>
      <c r="C546" s="4"/>
      <c r="D546" s="4"/>
      <c r="E546" s="17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7.25" x14ac:dyDescent="0.15">
      <c r="A547" s="4"/>
      <c r="B547" s="4"/>
      <c r="C547" s="4"/>
      <c r="D547" s="4"/>
      <c r="E547" s="17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7.25" x14ac:dyDescent="0.15">
      <c r="A548" s="4"/>
      <c r="B548" s="4"/>
      <c r="C548" s="4"/>
      <c r="D548" s="4"/>
      <c r="E548" s="17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7.25" x14ac:dyDescent="0.15">
      <c r="A549" s="4"/>
      <c r="B549" s="4"/>
      <c r="C549" s="4"/>
      <c r="D549" s="4"/>
      <c r="E549" s="17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7.25" x14ac:dyDescent="0.15">
      <c r="A550" s="4"/>
      <c r="B550" s="4"/>
      <c r="C550" s="4"/>
      <c r="D550" s="4"/>
      <c r="E550" s="17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7.25" x14ac:dyDescent="0.15">
      <c r="A551" s="4"/>
      <c r="B551" s="4"/>
      <c r="C551" s="4"/>
      <c r="D551" s="4"/>
      <c r="E551" s="17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7.25" x14ac:dyDescent="0.15">
      <c r="A552" s="4"/>
      <c r="B552" s="4"/>
      <c r="C552" s="4"/>
      <c r="D552" s="4"/>
      <c r="E552" s="17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7.25" x14ac:dyDescent="0.15">
      <c r="A553" s="4"/>
      <c r="B553" s="4"/>
      <c r="C553" s="4"/>
      <c r="D553" s="4"/>
      <c r="E553" s="17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7.25" x14ac:dyDescent="0.15">
      <c r="A554" s="4"/>
      <c r="B554" s="4"/>
      <c r="C554" s="4"/>
      <c r="D554" s="4"/>
      <c r="E554" s="17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7.25" x14ac:dyDescent="0.15">
      <c r="A555" s="4"/>
      <c r="B555" s="4"/>
      <c r="C555" s="4"/>
      <c r="D555" s="4"/>
      <c r="E555" s="17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7.25" x14ac:dyDescent="0.15">
      <c r="A556" s="4"/>
      <c r="B556" s="4"/>
      <c r="C556" s="4"/>
      <c r="D556" s="4"/>
      <c r="E556" s="17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7.25" x14ac:dyDescent="0.15">
      <c r="A557" s="4"/>
      <c r="B557" s="4"/>
      <c r="C557" s="4"/>
      <c r="D557" s="4"/>
      <c r="E557" s="17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7.25" x14ac:dyDescent="0.15">
      <c r="A558" s="4"/>
      <c r="B558" s="4"/>
      <c r="C558" s="4"/>
      <c r="D558" s="4"/>
      <c r="E558" s="17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7.25" x14ac:dyDescent="0.15">
      <c r="A559" s="4"/>
      <c r="B559" s="4"/>
      <c r="C559" s="4"/>
      <c r="D559" s="4"/>
      <c r="E559" s="17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7.25" x14ac:dyDescent="0.15">
      <c r="A560" s="4"/>
      <c r="B560" s="4"/>
      <c r="C560" s="4"/>
      <c r="D560" s="4"/>
      <c r="E560" s="17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7.25" x14ac:dyDescent="0.15">
      <c r="A561" s="4"/>
      <c r="B561" s="4"/>
      <c r="C561" s="4"/>
      <c r="D561" s="4"/>
      <c r="E561" s="17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7.25" x14ac:dyDescent="0.15">
      <c r="A562" s="4"/>
      <c r="B562" s="4"/>
      <c r="C562" s="4"/>
      <c r="D562" s="4"/>
      <c r="E562" s="17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7.25" x14ac:dyDescent="0.15">
      <c r="A563" s="4"/>
      <c r="B563" s="4"/>
      <c r="C563" s="4"/>
      <c r="D563" s="4"/>
      <c r="E563" s="17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7.25" x14ac:dyDescent="0.15">
      <c r="A564" s="4"/>
      <c r="B564" s="4"/>
      <c r="C564" s="4"/>
      <c r="D564" s="4"/>
      <c r="E564" s="17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7.25" x14ac:dyDescent="0.15">
      <c r="A565" s="4"/>
      <c r="B565" s="4"/>
      <c r="C565" s="4"/>
      <c r="D565" s="4"/>
      <c r="E565" s="17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7.25" x14ac:dyDescent="0.15">
      <c r="A566" s="4"/>
      <c r="B566" s="4"/>
      <c r="C566" s="4"/>
      <c r="D566" s="4"/>
      <c r="E566" s="17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7.25" x14ac:dyDescent="0.15">
      <c r="A567" s="4"/>
      <c r="B567" s="4"/>
      <c r="C567" s="4"/>
      <c r="D567" s="4"/>
      <c r="E567" s="17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7.25" x14ac:dyDescent="0.15">
      <c r="A568" s="4"/>
      <c r="B568" s="4"/>
      <c r="C568" s="4"/>
      <c r="D568" s="4"/>
      <c r="E568" s="17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7.25" x14ac:dyDescent="0.15">
      <c r="A569" s="4"/>
      <c r="B569" s="4"/>
      <c r="C569" s="4"/>
      <c r="D569" s="4"/>
      <c r="E569" s="17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7.25" x14ac:dyDescent="0.15">
      <c r="A570" s="4"/>
      <c r="B570" s="4"/>
      <c r="C570" s="4"/>
      <c r="D570" s="4"/>
      <c r="E570" s="17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7.25" x14ac:dyDescent="0.15">
      <c r="A571" s="4"/>
      <c r="B571" s="4"/>
      <c r="C571" s="4"/>
      <c r="D571" s="4"/>
      <c r="E571" s="17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7.25" x14ac:dyDescent="0.15">
      <c r="A572" s="4"/>
      <c r="B572" s="4"/>
      <c r="C572" s="4"/>
      <c r="D572" s="4"/>
      <c r="E572" s="17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7.25" x14ac:dyDescent="0.15">
      <c r="A573" s="4"/>
      <c r="B573" s="4"/>
      <c r="C573" s="4"/>
      <c r="D573" s="4"/>
      <c r="E573" s="17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7.25" x14ac:dyDescent="0.15">
      <c r="A574" s="4"/>
      <c r="B574" s="4"/>
      <c r="C574" s="4"/>
      <c r="D574" s="4"/>
      <c r="E574" s="17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7.25" x14ac:dyDescent="0.15">
      <c r="A575" s="4"/>
      <c r="B575" s="4"/>
      <c r="C575" s="4"/>
      <c r="D575" s="4"/>
      <c r="E575" s="17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7.25" x14ac:dyDescent="0.15">
      <c r="A576" s="4"/>
      <c r="B576" s="4"/>
      <c r="C576" s="4"/>
      <c r="D576" s="4"/>
      <c r="E576" s="17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7.25" x14ac:dyDescent="0.15">
      <c r="A577" s="4"/>
      <c r="B577" s="4"/>
      <c r="C577" s="4"/>
      <c r="D577" s="4"/>
      <c r="E577" s="17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7.25" x14ac:dyDescent="0.15">
      <c r="A578" s="4"/>
      <c r="B578" s="4"/>
      <c r="C578" s="4"/>
      <c r="D578" s="4"/>
      <c r="E578" s="17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7.25" x14ac:dyDescent="0.15">
      <c r="A579" s="4"/>
      <c r="B579" s="4"/>
      <c r="C579" s="4"/>
      <c r="D579" s="4"/>
      <c r="E579" s="17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7.25" x14ac:dyDescent="0.15">
      <c r="A580" s="4"/>
      <c r="B580" s="4"/>
      <c r="C580" s="4"/>
      <c r="D580" s="4"/>
      <c r="E580" s="17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7.25" x14ac:dyDescent="0.15">
      <c r="A581" s="4"/>
      <c r="B581" s="4"/>
      <c r="C581" s="4"/>
      <c r="D581" s="4"/>
      <c r="E581" s="17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7.25" x14ac:dyDescent="0.15">
      <c r="A582" s="4"/>
      <c r="B582" s="4"/>
      <c r="C582" s="4"/>
      <c r="D582" s="4"/>
      <c r="E582" s="17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7.25" x14ac:dyDescent="0.15">
      <c r="A583" s="4"/>
      <c r="B583" s="4"/>
      <c r="C583" s="4"/>
      <c r="D583" s="4"/>
      <c r="E583" s="17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7.25" x14ac:dyDescent="0.15">
      <c r="A584" s="4"/>
      <c r="B584" s="4"/>
      <c r="C584" s="4"/>
      <c r="D584" s="4"/>
      <c r="E584" s="17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7.25" x14ac:dyDescent="0.15">
      <c r="A585" s="4"/>
      <c r="B585" s="4"/>
      <c r="C585" s="4"/>
      <c r="D585" s="4"/>
      <c r="E585" s="17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7.25" x14ac:dyDescent="0.15">
      <c r="A586" s="4"/>
      <c r="B586" s="4"/>
      <c r="C586" s="4"/>
      <c r="D586" s="4"/>
      <c r="E586" s="17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7.25" x14ac:dyDescent="0.15">
      <c r="A587" s="4"/>
      <c r="B587" s="4"/>
      <c r="C587" s="4"/>
      <c r="D587" s="4"/>
      <c r="E587" s="17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7.25" x14ac:dyDescent="0.15">
      <c r="A588" s="4"/>
      <c r="B588" s="4"/>
      <c r="C588" s="4"/>
      <c r="D588" s="4"/>
      <c r="E588" s="17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7.25" x14ac:dyDescent="0.15">
      <c r="A589" s="4"/>
      <c r="B589" s="4"/>
      <c r="C589" s="4"/>
      <c r="D589" s="4"/>
      <c r="E589" s="17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7.25" x14ac:dyDescent="0.15">
      <c r="A590" s="4"/>
      <c r="B590" s="4"/>
      <c r="C590" s="4"/>
      <c r="D590" s="4"/>
      <c r="E590" s="17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7.25" x14ac:dyDescent="0.15">
      <c r="A591" s="4"/>
      <c r="B591" s="4"/>
      <c r="C591" s="4"/>
      <c r="D591" s="4"/>
      <c r="E591" s="17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7.25" x14ac:dyDescent="0.15">
      <c r="A592" s="4"/>
      <c r="B592" s="4"/>
      <c r="C592" s="4"/>
      <c r="D592" s="4"/>
      <c r="E592" s="17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7.25" x14ac:dyDescent="0.15">
      <c r="A593" s="4"/>
      <c r="B593" s="4"/>
      <c r="C593" s="4"/>
      <c r="D593" s="4"/>
      <c r="E593" s="17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7.25" x14ac:dyDescent="0.15">
      <c r="A594" s="4"/>
      <c r="B594" s="4"/>
      <c r="C594" s="4"/>
      <c r="D594" s="4"/>
      <c r="E594" s="17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7.25" x14ac:dyDescent="0.15">
      <c r="A595" s="4"/>
      <c r="B595" s="4"/>
      <c r="C595" s="4"/>
      <c r="D595" s="4"/>
      <c r="E595" s="17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7.25" x14ac:dyDescent="0.15">
      <c r="A596" s="4"/>
      <c r="B596" s="4"/>
      <c r="C596" s="4"/>
      <c r="D596" s="4"/>
      <c r="E596" s="17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7.25" x14ac:dyDescent="0.15">
      <c r="A597" s="4"/>
      <c r="B597" s="4"/>
      <c r="C597" s="4"/>
      <c r="D597" s="4"/>
      <c r="E597" s="17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7.25" x14ac:dyDescent="0.15">
      <c r="A598" s="4"/>
      <c r="B598" s="4"/>
      <c r="C598" s="4"/>
      <c r="D598" s="4"/>
      <c r="E598" s="17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7.25" x14ac:dyDescent="0.15">
      <c r="A599" s="4"/>
      <c r="B599" s="4"/>
      <c r="C599" s="4"/>
      <c r="D599" s="4"/>
      <c r="E599" s="17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7.25" x14ac:dyDescent="0.15">
      <c r="A600" s="4"/>
      <c r="B600" s="4"/>
      <c r="C600" s="4"/>
      <c r="D600" s="4"/>
      <c r="E600" s="17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7.25" x14ac:dyDescent="0.15">
      <c r="A601" s="4"/>
      <c r="B601" s="4"/>
      <c r="C601" s="4"/>
      <c r="D601" s="4"/>
      <c r="E601" s="17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7.25" x14ac:dyDescent="0.15">
      <c r="A602" s="4"/>
      <c r="B602" s="4"/>
      <c r="C602" s="4"/>
      <c r="D602" s="4"/>
      <c r="E602" s="17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7.25" x14ac:dyDescent="0.15">
      <c r="A603" s="4"/>
      <c r="B603" s="4"/>
      <c r="C603" s="4"/>
      <c r="D603" s="4"/>
      <c r="E603" s="17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7.25" x14ac:dyDescent="0.15">
      <c r="A604" s="4"/>
      <c r="B604" s="4"/>
      <c r="C604" s="4"/>
      <c r="D604" s="4"/>
      <c r="E604" s="17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7.25" x14ac:dyDescent="0.15">
      <c r="A605" s="4"/>
      <c r="B605" s="4"/>
      <c r="C605" s="4"/>
      <c r="D605" s="4"/>
      <c r="E605" s="17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7.25" x14ac:dyDescent="0.15">
      <c r="A606" s="4"/>
      <c r="B606" s="4"/>
      <c r="C606" s="4"/>
      <c r="D606" s="4"/>
      <c r="E606" s="17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7.25" x14ac:dyDescent="0.15">
      <c r="A607" s="4"/>
      <c r="B607" s="4"/>
      <c r="C607" s="4"/>
      <c r="D607" s="4"/>
      <c r="E607" s="17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7.25" x14ac:dyDescent="0.15">
      <c r="A608" s="4"/>
      <c r="B608" s="4"/>
      <c r="C608" s="4"/>
      <c r="D608" s="4"/>
      <c r="E608" s="17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7.25" x14ac:dyDescent="0.15">
      <c r="A609" s="4"/>
      <c r="B609" s="4"/>
      <c r="C609" s="4"/>
      <c r="D609" s="4"/>
      <c r="E609" s="17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7.25" x14ac:dyDescent="0.15">
      <c r="A610" s="4"/>
      <c r="B610" s="4"/>
      <c r="C610" s="4"/>
      <c r="D610" s="4"/>
      <c r="E610" s="17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7.25" x14ac:dyDescent="0.15">
      <c r="A611" s="4"/>
      <c r="B611" s="4"/>
      <c r="C611" s="4"/>
      <c r="D611" s="4"/>
      <c r="E611" s="17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7.25" x14ac:dyDescent="0.15">
      <c r="A612" s="4"/>
      <c r="B612" s="4"/>
      <c r="C612" s="4"/>
      <c r="D612" s="4"/>
      <c r="E612" s="17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7.25" x14ac:dyDescent="0.15">
      <c r="A613" s="4"/>
      <c r="B613" s="4"/>
      <c r="C613" s="4"/>
      <c r="D613" s="4"/>
      <c r="E613" s="17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7.25" x14ac:dyDescent="0.15">
      <c r="A614" s="4"/>
      <c r="B614" s="4"/>
      <c r="C614" s="4"/>
      <c r="D614" s="4"/>
      <c r="E614" s="17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7.25" x14ac:dyDescent="0.15">
      <c r="A615" s="4"/>
      <c r="B615" s="4"/>
      <c r="C615" s="4"/>
      <c r="D615" s="4"/>
      <c r="E615" s="17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7.25" x14ac:dyDescent="0.15">
      <c r="A616" s="4"/>
      <c r="B616" s="4"/>
      <c r="C616" s="4"/>
      <c r="D616" s="4"/>
      <c r="E616" s="17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7.25" x14ac:dyDescent="0.15">
      <c r="A617" s="4"/>
      <c r="B617" s="4"/>
      <c r="C617" s="4"/>
      <c r="D617" s="4"/>
      <c r="E617" s="17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7.25" x14ac:dyDescent="0.15">
      <c r="A618" s="4"/>
      <c r="B618" s="4"/>
      <c r="C618" s="4"/>
      <c r="D618" s="4"/>
      <c r="E618" s="17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7.25" x14ac:dyDescent="0.15">
      <c r="A619" s="4"/>
      <c r="B619" s="4"/>
      <c r="C619" s="4"/>
      <c r="D619" s="4"/>
      <c r="E619" s="17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7.25" x14ac:dyDescent="0.15">
      <c r="A620" s="4"/>
      <c r="B620" s="4"/>
      <c r="C620" s="4"/>
      <c r="D620" s="4"/>
      <c r="E620" s="17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7.25" x14ac:dyDescent="0.15">
      <c r="A621" s="4"/>
      <c r="B621" s="4"/>
      <c r="C621" s="4"/>
      <c r="D621" s="4"/>
      <c r="E621" s="17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7.25" x14ac:dyDescent="0.15">
      <c r="A622" s="4"/>
      <c r="B622" s="4"/>
      <c r="C622" s="4"/>
      <c r="D622" s="4"/>
      <c r="E622" s="17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7.25" x14ac:dyDescent="0.15">
      <c r="A623" s="4"/>
      <c r="B623" s="4"/>
      <c r="C623" s="4"/>
      <c r="D623" s="4"/>
      <c r="E623" s="17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7.25" x14ac:dyDescent="0.15">
      <c r="A624" s="4"/>
      <c r="B624" s="4"/>
      <c r="C624" s="4"/>
      <c r="D624" s="4"/>
      <c r="E624" s="17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7.25" x14ac:dyDescent="0.15">
      <c r="A625" s="4"/>
      <c r="B625" s="4"/>
      <c r="C625" s="4"/>
      <c r="D625" s="4"/>
      <c r="E625" s="17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7.25" x14ac:dyDescent="0.15">
      <c r="A626" s="4"/>
      <c r="B626" s="4"/>
      <c r="C626" s="4"/>
      <c r="D626" s="4"/>
      <c r="E626" s="17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7.25" x14ac:dyDescent="0.15">
      <c r="A627" s="4"/>
      <c r="B627" s="4"/>
      <c r="C627" s="4"/>
      <c r="D627" s="4"/>
      <c r="E627" s="17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7.25" x14ac:dyDescent="0.15">
      <c r="A628" s="4"/>
      <c r="B628" s="4"/>
      <c r="C628" s="4"/>
      <c r="D628" s="4"/>
      <c r="E628" s="17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7.25" x14ac:dyDescent="0.15">
      <c r="A629" s="4"/>
      <c r="B629" s="4"/>
      <c r="C629" s="4"/>
      <c r="D629" s="4"/>
      <c r="E629" s="17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7.25" x14ac:dyDescent="0.15">
      <c r="A630" s="4"/>
      <c r="B630" s="4"/>
      <c r="C630" s="4"/>
      <c r="D630" s="4"/>
      <c r="E630" s="17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7.25" x14ac:dyDescent="0.15">
      <c r="A631" s="4"/>
      <c r="B631" s="4"/>
      <c r="C631" s="4"/>
      <c r="D631" s="4"/>
      <c r="E631" s="17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7.25" x14ac:dyDescent="0.15">
      <c r="A632" s="4"/>
      <c r="B632" s="4"/>
      <c r="C632" s="4"/>
      <c r="D632" s="4"/>
      <c r="E632" s="17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7.25" x14ac:dyDescent="0.15">
      <c r="A633" s="4"/>
      <c r="B633" s="4"/>
      <c r="C633" s="4"/>
      <c r="D633" s="4"/>
      <c r="E633" s="17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7.25" x14ac:dyDescent="0.15">
      <c r="A634" s="4"/>
      <c r="B634" s="4"/>
      <c r="C634" s="4"/>
      <c r="D634" s="4"/>
      <c r="E634" s="17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7.25" x14ac:dyDescent="0.15">
      <c r="A635" s="4"/>
      <c r="B635" s="4"/>
      <c r="C635" s="4"/>
      <c r="D635" s="4"/>
      <c r="E635" s="17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7.25" x14ac:dyDescent="0.15">
      <c r="A636" s="4"/>
      <c r="B636" s="4"/>
      <c r="C636" s="4"/>
      <c r="D636" s="4"/>
      <c r="E636" s="17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7.25" x14ac:dyDescent="0.15">
      <c r="A637" s="4"/>
      <c r="B637" s="4"/>
      <c r="C637" s="4"/>
      <c r="D637" s="4"/>
      <c r="E637" s="17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7.25" x14ac:dyDescent="0.15">
      <c r="A638" s="4"/>
      <c r="B638" s="4"/>
      <c r="C638" s="4"/>
      <c r="D638" s="4"/>
      <c r="E638" s="17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7.25" x14ac:dyDescent="0.15">
      <c r="A639" s="4"/>
      <c r="B639" s="4"/>
      <c r="C639" s="4"/>
      <c r="D639" s="4"/>
      <c r="E639" s="17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7.25" x14ac:dyDescent="0.15">
      <c r="A640" s="4"/>
      <c r="B640" s="4"/>
      <c r="C640" s="4"/>
      <c r="D640" s="4"/>
      <c r="E640" s="17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7.25" x14ac:dyDescent="0.15">
      <c r="A641" s="4"/>
      <c r="B641" s="4"/>
      <c r="C641" s="4"/>
      <c r="D641" s="4"/>
      <c r="E641" s="17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7.25" x14ac:dyDescent="0.15">
      <c r="A642" s="4"/>
      <c r="B642" s="4"/>
      <c r="C642" s="4"/>
      <c r="D642" s="4"/>
      <c r="E642" s="17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7.25" x14ac:dyDescent="0.15">
      <c r="A643" s="4"/>
      <c r="B643" s="4"/>
      <c r="C643" s="4"/>
      <c r="D643" s="4"/>
      <c r="E643" s="17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7.25" x14ac:dyDescent="0.15">
      <c r="A644" s="4"/>
      <c r="B644" s="4"/>
      <c r="C644" s="4"/>
      <c r="D644" s="4"/>
      <c r="E644" s="17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7.25" x14ac:dyDescent="0.15">
      <c r="A645" s="4"/>
      <c r="B645" s="4"/>
      <c r="C645" s="4"/>
      <c r="D645" s="4"/>
      <c r="E645" s="17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7.25" x14ac:dyDescent="0.15">
      <c r="A646" s="4"/>
      <c r="B646" s="4"/>
      <c r="C646" s="4"/>
      <c r="D646" s="4"/>
      <c r="E646" s="17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7.25" x14ac:dyDescent="0.15">
      <c r="A647" s="4"/>
      <c r="B647" s="4"/>
      <c r="C647" s="4"/>
      <c r="D647" s="4"/>
      <c r="E647" s="17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7.25" x14ac:dyDescent="0.15">
      <c r="A648" s="4"/>
      <c r="B648" s="4"/>
      <c r="C648" s="4"/>
      <c r="D648" s="4"/>
      <c r="E648" s="17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7.25" x14ac:dyDescent="0.15">
      <c r="A649" s="4"/>
      <c r="B649" s="4"/>
      <c r="C649" s="4"/>
      <c r="D649" s="4"/>
      <c r="E649" s="17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7.25" x14ac:dyDescent="0.15">
      <c r="A650" s="4"/>
      <c r="B650" s="4"/>
      <c r="C650" s="4"/>
      <c r="D650" s="4"/>
      <c r="E650" s="17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7.25" x14ac:dyDescent="0.15">
      <c r="A651" s="4"/>
      <c r="B651" s="4"/>
      <c r="C651" s="4"/>
      <c r="D651" s="4"/>
      <c r="E651" s="17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7.25" x14ac:dyDescent="0.15">
      <c r="A652" s="4"/>
      <c r="B652" s="4"/>
      <c r="C652" s="4"/>
      <c r="D652" s="4"/>
      <c r="E652" s="17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7.25" x14ac:dyDescent="0.15">
      <c r="A653" s="4"/>
      <c r="B653" s="4"/>
      <c r="C653" s="4"/>
      <c r="D653" s="4"/>
      <c r="E653" s="17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7.25" x14ac:dyDescent="0.15">
      <c r="A654" s="4"/>
      <c r="B654" s="4"/>
      <c r="C654" s="4"/>
      <c r="D654" s="4"/>
      <c r="E654" s="17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7.25" x14ac:dyDescent="0.15">
      <c r="A655" s="4"/>
      <c r="B655" s="4"/>
      <c r="C655" s="4"/>
      <c r="D655" s="4"/>
      <c r="E655" s="17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7.25" x14ac:dyDescent="0.15">
      <c r="A656" s="4"/>
      <c r="B656" s="4"/>
      <c r="C656" s="4"/>
      <c r="D656" s="4"/>
      <c r="E656" s="17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7.25" x14ac:dyDescent="0.15">
      <c r="A657" s="4"/>
      <c r="B657" s="4"/>
      <c r="C657" s="4"/>
      <c r="D657" s="4"/>
      <c r="E657" s="17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7.25" x14ac:dyDescent="0.15">
      <c r="A658" s="4"/>
      <c r="B658" s="4"/>
      <c r="C658" s="4"/>
      <c r="D658" s="4"/>
      <c r="E658" s="17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7.25" x14ac:dyDescent="0.15">
      <c r="A659" s="4"/>
      <c r="B659" s="4"/>
      <c r="C659" s="4"/>
      <c r="D659" s="4"/>
      <c r="E659" s="17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7.25" x14ac:dyDescent="0.15">
      <c r="A660" s="4"/>
      <c r="B660" s="4"/>
      <c r="C660" s="4"/>
      <c r="D660" s="4"/>
      <c r="E660" s="17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7.25" x14ac:dyDescent="0.15">
      <c r="A661" s="4"/>
      <c r="B661" s="4"/>
      <c r="C661" s="4"/>
      <c r="D661" s="4"/>
      <c r="E661" s="17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7.25" x14ac:dyDescent="0.15">
      <c r="A662" s="4"/>
      <c r="B662" s="4"/>
      <c r="C662" s="4"/>
      <c r="D662" s="4"/>
      <c r="E662" s="17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7.25" x14ac:dyDescent="0.15">
      <c r="A663" s="4"/>
      <c r="B663" s="4"/>
      <c r="C663" s="4"/>
      <c r="D663" s="4"/>
      <c r="E663" s="17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7.25" x14ac:dyDescent="0.15">
      <c r="A664" s="4"/>
      <c r="B664" s="4"/>
      <c r="C664" s="4"/>
      <c r="D664" s="4"/>
      <c r="E664" s="17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7.25" x14ac:dyDescent="0.15">
      <c r="A665" s="4"/>
      <c r="B665" s="4"/>
      <c r="C665" s="4"/>
      <c r="D665" s="4"/>
      <c r="E665" s="17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7.25" x14ac:dyDescent="0.15">
      <c r="A666" s="4"/>
      <c r="B666" s="4"/>
      <c r="C666" s="4"/>
      <c r="D666" s="4"/>
      <c r="E666" s="17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7.25" x14ac:dyDescent="0.15">
      <c r="A667" s="4"/>
      <c r="B667" s="4"/>
      <c r="C667" s="4"/>
      <c r="D667" s="4"/>
      <c r="E667" s="17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7.25" x14ac:dyDescent="0.15">
      <c r="A668" s="4"/>
      <c r="B668" s="4"/>
      <c r="C668" s="4"/>
      <c r="D668" s="4"/>
      <c r="E668" s="17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7.25" x14ac:dyDescent="0.15">
      <c r="A669" s="4"/>
      <c r="B669" s="4"/>
      <c r="C669" s="4"/>
      <c r="D669" s="4"/>
      <c r="E669" s="17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7.25" x14ac:dyDescent="0.15">
      <c r="A670" s="4"/>
      <c r="B670" s="4"/>
      <c r="C670" s="4"/>
      <c r="D670" s="4"/>
      <c r="E670" s="17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7.25" x14ac:dyDescent="0.15">
      <c r="A671" s="4"/>
      <c r="B671" s="4"/>
      <c r="C671" s="4"/>
      <c r="D671" s="4"/>
      <c r="E671" s="17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7.25" x14ac:dyDescent="0.15">
      <c r="A672" s="4"/>
      <c r="B672" s="4"/>
      <c r="C672" s="4"/>
      <c r="D672" s="4"/>
      <c r="E672" s="17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7.25" x14ac:dyDescent="0.15">
      <c r="A673" s="4"/>
      <c r="B673" s="4"/>
      <c r="C673" s="4"/>
      <c r="D673" s="4"/>
      <c r="E673" s="17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7.25" x14ac:dyDescent="0.15">
      <c r="A674" s="4"/>
      <c r="B674" s="4"/>
      <c r="C674" s="4"/>
      <c r="D674" s="4"/>
      <c r="E674" s="17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7.25" x14ac:dyDescent="0.15">
      <c r="A675" s="4"/>
      <c r="B675" s="4"/>
      <c r="C675" s="4"/>
      <c r="D675" s="4"/>
      <c r="E675" s="17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7.25" x14ac:dyDescent="0.15">
      <c r="A676" s="4"/>
      <c r="B676" s="4"/>
      <c r="C676" s="4"/>
      <c r="D676" s="4"/>
      <c r="E676" s="17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7.25" x14ac:dyDescent="0.15">
      <c r="A677" s="4"/>
      <c r="B677" s="4"/>
      <c r="C677" s="4"/>
      <c r="D677" s="4"/>
      <c r="E677" s="17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7.25" x14ac:dyDescent="0.15">
      <c r="A678" s="4"/>
      <c r="B678" s="4"/>
      <c r="C678" s="4"/>
      <c r="D678" s="4"/>
      <c r="E678" s="17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7.25" x14ac:dyDescent="0.15">
      <c r="A679" s="4"/>
      <c r="B679" s="4"/>
      <c r="C679" s="4"/>
      <c r="D679" s="4"/>
      <c r="E679" s="17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7.25" x14ac:dyDescent="0.15">
      <c r="A680" s="4"/>
      <c r="B680" s="4"/>
      <c r="C680" s="4"/>
      <c r="D680" s="4"/>
      <c r="E680" s="17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7.25" x14ac:dyDescent="0.15">
      <c r="A681" s="4"/>
      <c r="B681" s="4"/>
      <c r="C681" s="4"/>
      <c r="D681" s="4"/>
      <c r="E681" s="17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7.25" x14ac:dyDescent="0.15">
      <c r="A682" s="4"/>
      <c r="B682" s="4"/>
      <c r="C682" s="4"/>
      <c r="D682" s="4"/>
      <c r="E682" s="17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7.25" x14ac:dyDescent="0.15">
      <c r="A683" s="4"/>
      <c r="B683" s="4"/>
      <c r="C683" s="4"/>
      <c r="D683" s="4"/>
      <c r="E683" s="17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7.25" x14ac:dyDescent="0.15">
      <c r="A684" s="4"/>
      <c r="B684" s="4"/>
      <c r="C684" s="4"/>
      <c r="D684" s="4"/>
      <c r="E684" s="17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7.25" x14ac:dyDescent="0.15">
      <c r="A685" s="4"/>
      <c r="B685" s="4"/>
      <c r="C685" s="4"/>
      <c r="D685" s="4"/>
      <c r="E685" s="17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7.25" x14ac:dyDescent="0.15">
      <c r="A686" s="4"/>
      <c r="B686" s="4"/>
      <c r="C686" s="4"/>
      <c r="D686" s="4"/>
      <c r="E686" s="17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7.25" x14ac:dyDescent="0.15">
      <c r="A687" s="4"/>
      <c r="B687" s="4"/>
      <c r="C687" s="4"/>
      <c r="D687" s="4"/>
      <c r="E687" s="17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7.25" x14ac:dyDescent="0.15">
      <c r="A688" s="4"/>
      <c r="B688" s="4"/>
      <c r="C688" s="4"/>
      <c r="D688" s="4"/>
      <c r="E688" s="17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7.25" x14ac:dyDescent="0.15">
      <c r="A689" s="4"/>
      <c r="B689" s="4"/>
      <c r="C689" s="4"/>
      <c r="D689" s="4"/>
      <c r="E689" s="17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7.25" x14ac:dyDescent="0.15">
      <c r="A690" s="4"/>
      <c r="B690" s="4"/>
      <c r="C690" s="4"/>
      <c r="D690" s="4"/>
      <c r="E690" s="17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7.25" x14ac:dyDescent="0.15">
      <c r="A691" s="4"/>
      <c r="B691" s="4"/>
      <c r="C691" s="4"/>
      <c r="D691" s="4"/>
      <c r="E691" s="17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7.25" x14ac:dyDescent="0.15">
      <c r="A692" s="4"/>
      <c r="B692" s="4"/>
      <c r="C692" s="4"/>
      <c r="D692" s="4"/>
      <c r="E692" s="17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7.25" x14ac:dyDescent="0.15">
      <c r="A693" s="4"/>
      <c r="B693" s="4"/>
      <c r="C693" s="4"/>
      <c r="D693" s="4"/>
      <c r="E693" s="17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7.25" x14ac:dyDescent="0.15">
      <c r="A694" s="4"/>
      <c r="B694" s="4"/>
      <c r="C694" s="4"/>
      <c r="D694" s="4"/>
      <c r="E694" s="17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7.25" x14ac:dyDescent="0.15">
      <c r="A695" s="4"/>
      <c r="B695" s="4"/>
      <c r="C695" s="4"/>
      <c r="D695" s="4"/>
      <c r="E695" s="17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7.25" x14ac:dyDescent="0.15">
      <c r="A696" s="4"/>
      <c r="B696" s="4"/>
      <c r="C696" s="4"/>
      <c r="D696" s="4"/>
      <c r="E696" s="17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7.25" x14ac:dyDescent="0.15">
      <c r="A697" s="4"/>
      <c r="B697" s="4"/>
      <c r="C697" s="4"/>
      <c r="D697" s="4"/>
      <c r="E697" s="17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7.25" x14ac:dyDescent="0.15">
      <c r="A698" s="4"/>
      <c r="B698" s="4"/>
      <c r="C698" s="4"/>
      <c r="D698" s="4"/>
      <c r="E698" s="17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7.25" x14ac:dyDescent="0.15">
      <c r="A699" s="4"/>
      <c r="B699" s="4"/>
      <c r="C699" s="4"/>
      <c r="D699" s="4"/>
      <c r="E699" s="17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7.25" x14ac:dyDescent="0.15">
      <c r="A700" s="4"/>
      <c r="B700" s="4"/>
      <c r="C700" s="4"/>
      <c r="D700" s="4"/>
      <c r="E700" s="17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7.25" x14ac:dyDescent="0.15">
      <c r="A701" s="4"/>
      <c r="B701" s="4"/>
      <c r="C701" s="4"/>
      <c r="D701" s="4"/>
      <c r="E701" s="17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7.25" x14ac:dyDescent="0.15">
      <c r="A702" s="4"/>
      <c r="B702" s="4"/>
      <c r="C702" s="4"/>
      <c r="D702" s="4"/>
      <c r="E702" s="17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7.25" x14ac:dyDescent="0.15">
      <c r="A703" s="4"/>
      <c r="B703" s="4"/>
      <c r="C703" s="4"/>
      <c r="D703" s="4"/>
      <c r="E703" s="17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7.25" x14ac:dyDescent="0.15">
      <c r="A704" s="4"/>
      <c r="B704" s="4"/>
      <c r="C704" s="4"/>
      <c r="D704" s="4"/>
      <c r="E704" s="17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7.25" x14ac:dyDescent="0.15">
      <c r="A705" s="4"/>
      <c r="B705" s="4"/>
      <c r="C705" s="4"/>
      <c r="D705" s="4"/>
      <c r="E705" s="17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7.25" x14ac:dyDescent="0.15">
      <c r="A706" s="4"/>
      <c r="B706" s="4"/>
      <c r="C706" s="4"/>
      <c r="D706" s="4"/>
      <c r="E706" s="17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7.25" x14ac:dyDescent="0.15">
      <c r="A707" s="4"/>
      <c r="B707" s="4"/>
      <c r="C707" s="4"/>
      <c r="D707" s="4"/>
      <c r="E707" s="17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7.25" x14ac:dyDescent="0.15">
      <c r="A708" s="4"/>
      <c r="B708" s="4"/>
      <c r="C708" s="4"/>
      <c r="D708" s="4"/>
      <c r="E708" s="17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7.25" x14ac:dyDescent="0.15">
      <c r="A709" s="4"/>
      <c r="B709" s="4"/>
      <c r="C709" s="4"/>
      <c r="D709" s="4"/>
      <c r="E709" s="17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7.25" x14ac:dyDescent="0.15">
      <c r="A710" s="4"/>
      <c r="B710" s="4"/>
      <c r="C710" s="4"/>
      <c r="D710" s="4"/>
      <c r="E710" s="17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7.25" x14ac:dyDescent="0.15">
      <c r="A711" s="4"/>
      <c r="B711" s="4"/>
      <c r="C711" s="4"/>
      <c r="D711" s="4"/>
      <c r="E711" s="17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7.25" x14ac:dyDescent="0.15">
      <c r="A712" s="4"/>
      <c r="B712" s="4"/>
      <c r="C712" s="4"/>
      <c r="D712" s="4"/>
      <c r="E712" s="17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7.25" x14ac:dyDescent="0.15">
      <c r="A713" s="4"/>
      <c r="B713" s="4"/>
      <c r="C713" s="4"/>
      <c r="D713" s="4"/>
      <c r="E713" s="17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7.25" x14ac:dyDescent="0.15">
      <c r="A714" s="4"/>
      <c r="B714" s="4"/>
      <c r="C714" s="4"/>
      <c r="D714" s="4"/>
      <c r="E714" s="17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7.25" x14ac:dyDescent="0.15">
      <c r="A715" s="4"/>
      <c r="B715" s="4"/>
      <c r="C715" s="4"/>
      <c r="D715" s="4"/>
      <c r="E715" s="17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7.25" x14ac:dyDescent="0.15">
      <c r="A716" s="4"/>
      <c r="B716" s="4"/>
      <c r="C716" s="4"/>
      <c r="D716" s="4"/>
      <c r="E716" s="17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7.25" x14ac:dyDescent="0.15">
      <c r="A717" s="4"/>
      <c r="B717" s="4"/>
      <c r="C717" s="4"/>
      <c r="D717" s="4"/>
      <c r="E717" s="17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7.25" x14ac:dyDescent="0.15">
      <c r="A718" s="4"/>
      <c r="B718" s="4"/>
      <c r="C718" s="4"/>
      <c r="D718" s="4"/>
      <c r="E718" s="17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7.25" x14ac:dyDescent="0.15">
      <c r="A719" s="4"/>
      <c r="B719" s="4"/>
      <c r="C719" s="4"/>
      <c r="D719" s="4"/>
      <c r="E719" s="17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7.25" x14ac:dyDescent="0.15">
      <c r="A720" s="4"/>
      <c r="B720" s="4"/>
      <c r="C720" s="4"/>
      <c r="D720" s="4"/>
      <c r="E720" s="17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7.25" x14ac:dyDescent="0.15">
      <c r="A721" s="4"/>
      <c r="B721" s="4"/>
      <c r="C721" s="4"/>
      <c r="D721" s="4"/>
      <c r="E721" s="17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7.25" x14ac:dyDescent="0.15">
      <c r="A722" s="4"/>
      <c r="B722" s="4"/>
      <c r="C722" s="4"/>
      <c r="D722" s="4"/>
      <c r="E722" s="17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7.25" x14ac:dyDescent="0.15">
      <c r="A723" s="4"/>
      <c r="B723" s="4"/>
      <c r="C723" s="4"/>
      <c r="D723" s="4"/>
      <c r="E723" s="17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7.25" x14ac:dyDescent="0.15">
      <c r="A724" s="4"/>
      <c r="B724" s="4"/>
      <c r="C724" s="4"/>
      <c r="D724" s="4"/>
      <c r="E724" s="17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7.25" x14ac:dyDescent="0.15">
      <c r="A725" s="4"/>
      <c r="B725" s="4"/>
      <c r="C725" s="4"/>
      <c r="D725" s="4"/>
      <c r="E725" s="17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7.25" x14ac:dyDescent="0.15">
      <c r="A726" s="4"/>
      <c r="B726" s="4"/>
      <c r="C726" s="4"/>
      <c r="D726" s="4"/>
      <c r="E726" s="17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7.25" x14ac:dyDescent="0.15">
      <c r="A727" s="4"/>
      <c r="B727" s="4"/>
      <c r="C727" s="4"/>
      <c r="D727" s="4"/>
      <c r="E727" s="17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7.25" x14ac:dyDescent="0.15">
      <c r="A728" s="4"/>
      <c r="B728" s="4"/>
      <c r="C728" s="4"/>
      <c r="D728" s="4"/>
      <c r="E728" s="17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7.25" x14ac:dyDescent="0.15">
      <c r="A729" s="4"/>
      <c r="B729" s="4"/>
      <c r="C729" s="4"/>
      <c r="D729" s="4"/>
      <c r="E729" s="17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7.25" x14ac:dyDescent="0.15">
      <c r="A730" s="4"/>
      <c r="B730" s="4"/>
      <c r="C730" s="4"/>
      <c r="D730" s="4"/>
      <c r="E730" s="17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7.25" x14ac:dyDescent="0.15">
      <c r="A731" s="4"/>
      <c r="B731" s="4"/>
      <c r="C731" s="4"/>
      <c r="D731" s="4"/>
      <c r="E731" s="17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7.25" x14ac:dyDescent="0.15">
      <c r="A732" s="4"/>
      <c r="B732" s="4"/>
      <c r="C732" s="4"/>
      <c r="D732" s="4"/>
      <c r="E732" s="17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7.25" x14ac:dyDescent="0.15">
      <c r="A733" s="4"/>
      <c r="B733" s="4"/>
      <c r="C733" s="4"/>
      <c r="D733" s="4"/>
      <c r="E733" s="17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7.25" x14ac:dyDescent="0.15">
      <c r="A734" s="4"/>
      <c r="B734" s="4"/>
      <c r="C734" s="4"/>
      <c r="D734" s="4"/>
      <c r="E734" s="17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7.25" x14ac:dyDescent="0.15">
      <c r="A735" s="4"/>
      <c r="B735" s="4"/>
      <c r="C735" s="4"/>
      <c r="D735" s="4"/>
      <c r="E735" s="17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7.25" x14ac:dyDescent="0.15">
      <c r="A736" s="4"/>
      <c r="B736" s="4"/>
      <c r="C736" s="4"/>
      <c r="D736" s="4"/>
      <c r="E736" s="17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7.25" x14ac:dyDescent="0.15">
      <c r="A737" s="4"/>
      <c r="B737" s="4"/>
      <c r="C737" s="4"/>
      <c r="D737" s="4"/>
      <c r="E737" s="17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7.25" x14ac:dyDescent="0.15">
      <c r="A738" s="4"/>
      <c r="B738" s="4"/>
      <c r="C738" s="4"/>
      <c r="D738" s="4"/>
      <c r="E738" s="17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7.25" x14ac:dyDescent="0.15">
      <c r="A739" s="4"/>
      <c r="B739" s="4"/>
      <c r="C739" s="4"/>
      <c r="D739" s="4"/>
      <c r="E739" s="17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7.25" x14ac:dyDescent="0.15">
      <c r="A740" s="4"/>
      <c r="B740" s="4"/>
      <c r="C740" s="4"/>
      <c r="D740" s="4"/>
      <c r="E740" s="17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7.25" x14ac:dyDescent="0.15">
      <c r="A741" s="4"/>
      <c r="B741" s="4"/>
      <c r="C741" s="4"/>
      <c r="D741" s="4"/>
      <c r="E741" s="17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7.25" x14ac:dyDescent="0.15">
      <c r="A742" s="4"/>
      <c r="B742" s="4"/>
      <c r="C742" s="4"/>
      <c r="D742" s="4"/>
      <c r="E742" s="17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7.25" x14ac:dyDescent="0.15">
      <c r="A743" s="4"/>
      <c r="B743" s="4"/>
      <c r="C743" s="4"/>
      <c r="D743" s="4"/>
      <c r="E743" s="17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7.25" x14ac:dyDescent="0.15">
      <c r="A744" s="4"/>
      <c r="B744" s="4"/>
      <c r="C744" s="4"/>
      <c r="D744" s="4"/>
      <c r="E744" s="17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7.25" x14ac:dyDescent="0.15">
      <c r="A745" s="4"/>
      <c r="B745" s="4"/>
      <c r="C745" s="4"/>
      <c r="D745" s="4"/>
      <c r="E745" s="17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7.25" x14ac:dyDescent="0.15">
      <c r="A746" s="4"/>
      <c r="B746" s="4"/>
      <c r="C746" s="4"/>
      <c r="D746" s="4"/>
      <c r="E746" s="17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7.25" x14ac:dyDescent="0.15">
      <c r="A747" s="4"/>
      <c r="B747" s="4"/>
      <c r="C747" s="4"/>
      <c r="D747" s="4"/>
      <c r="E747" s="17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7.25" x14ac:dyDescent="0.15">
      <c r="A748" s="4"/>
      <c r="B748" s="4"/>
      <c r="C748" s="4"/>
      <c r="D748" s="4"/>
      <c r="E748" s="17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7.25" x14ac:dyDescent="0.15">
      <c r="A749" s="4"/>
      <c r="B749" s="4"/>
      <c r="C749" s="4"/>
      <c r="D749" s="4"/>
      <c r="E749" s="17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7.25" x14ac:dyDescent="0.15">
      <c r="A750" s="4"/>
      <c r="B750" s="4"/>
      <c r="C750" s="4"/>
      <c r="D750" s="4"/>
      <c r="E750" s="17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7.25" x14ac:dyDescent="0.15">
      <c r="A751" s="4"/>
      <c r="B751" s="4"/>
      <c r="C751" s="4"/>
      <c r="D751" s="4"/>
      <c r="E751" s="17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7.25" x14ac:dyDescent="0.15">
      <c r="A752" s="4"/>
      <c r="B752" s="4"/>
      <c r="C752" s="4"/>
      <c r="D752" s="4"/>
      <c r="E752" s="17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7.25" x14ac:dyDescent="0.15">
      <c r="A753" s="4"/>
      <c r="B753" s="4"/>
      <c r="C753" s="4"/>
      <c r="D753" s="4"/>
      <c r="E753" s="17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7.25" x14ac:dyDescent="0.15">
      <c r="A754" s="4"/>
      <c r="B754" s="4"/>
      <c r="C754" s="4"/>
      <c r="D754" s="4"/>
      <c r="E754" s="17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7.25" x14ac:dyDescent="0.15">
      <c r="A755" s="4"/>
      <c r="B755" s="4"/>
      <c r="C755" s="4"/>
      <c r="D755" s="4"/>
      <c r="E755" s="17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7.25" x14ac:dyDescent="0.15">
      <c r="A756" s="4"/>
      <c r="B756" s="4"/>
      <c r="C756" s="4"/>
      <c r="D756" s="4"/>
      <c r="E756" s="17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7.25" x14ac:dyDescent="0.15">
      <c r="A757" s="4"/>
      <c r="B757" s="4"/>
      <c r="C757" s="4"/>
      <c r="D757" s="4"/>
      <c r="E757" s="17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7.25" x14ac:dyDescent="0.15">
      <c r="A758" s="4"/>
      <c r="B758" s="4"/>
      <c r="C758" s="4"/>
      <c r="D758" s="4"/>
      <c r="E758" s="17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7.25" x14ac:dyDescent="0.15">
      <c r="A759" s="4"/>
      <c r="B759" s="4"/>
      <c r="C759" s="4"/>
      <c r="D759" s="4"/>
      <c r="E759" s="17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7.25" x14ac:dyDescent="0.15">
      <c r="A760" s="4"/>
      <c r="B760" s="4"/>
      <c r="C760" s="4"/>
      <c r="D760" s="4"/>
      <c r="E760" s="17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7.25" x14ac:dyDescent="0.15">
      <c r="A761" s="4"/>
      <c r="B761" s="4"/>
      <c r="C761" s="4"/>
      <c r="D761" s="4"/>
      <c r="E761" s="17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7.25" x14ac:dyDescent="0.15">
      <c r="A762" s="4"/>
      <c r="B762" s="4"/>
      <c r="C762" s="4"/>
      <c r="D762" s="4"/>
      <c r="E762" s="17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7.25" x14ac:dyDescent="0.15">
      <c r="A763" s="4"/>
      <c r="B763" s="4"/>
      <c r="C763" s="4"/>
      <c r="D763" s="4"/>
      <c r="E763" s="17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7.25" x14ac:dyDescent="0.15">
      <c r="A764" s="4"/>
      <c r="B764" s="4"/>
      <c r="C764" s="4"/>
      <c r="D764" s="4"/>
      <c r="E764" s="17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7.25" x14ac:dyDescent="0.15">
      <c r="A765" s="4"/>
      <c r="B765" s="4"/>
      <c r="C765" s="4"/>
      <c r="D765" s="4"/>
      <c r="E765" s="17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7.25" x14ac:dyDescent="0.15">
      <c r="A766" s="4"/>
      <c r="B766" s="4"/>
      <c r="C766" s="4"/>
      <c r="D766" s="4"/>
      <c r="E766" s="17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7.25" x14ac:dyDescent="0.15">
      <c r="A767" s="4"/>
      <c r="B767" s="4"/>
      <c r="C767" s="4"/>
      <c r="D767" s="4"/>
      <c r="E767" s="17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7.25" x14ac:dyDescent="0.15">
      <c r="A768" s="4"/>
      <c r="B768" s="4"/>
      <c r="C768" s="4"/>
      <c r="D768" s="4"/>
      <c r="E768" s="17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7.25" x14ac:dyDescent="0.15">
      <c r="A769" s="4"/>
      <c r="B769" s="4"/>
      <c r="C769" s="4"/>
      <c r="D769" s="4"/>
      <c r="E769" s="17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7.25" x14ac:dyDescent="0.15">
      <c r="A770" s="4"/>
      <c r="B770" s="4"/>
      <c r="C770" s="4"/>
      <c r="D770" s="4"/>
      <c r="E770" s="17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7.25" x14ac:dyDescent="0.15">
      <c r="A771" s="4"/>
      <c r="B771" s="4"/>
      <c r="C771" s="4"/>
      <c r="D771" s="4"/>
      <c r="E771" s="17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7.25" x14ac:dyDescent="0.15">
      <c r="A772" s="4"/>
      <c r="B772" s="4"/>
      <c r="C772" s="4"/>
      <c r="D772" s="4"/>
      <c r="E772" s="17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7.25" x14ac:dyDescent="0.15">
      <c r="A773" s="4"/>
      <c r="B773" s="4"/>
      <c r="C773" s="4"/>
      <c r="D773" s="4"/>
      <c r="E773" s="17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7.25" x14ac:dyDescent="0.15">
      <c r="A774" s="4"/>
      <c r="B774" s="4"/>
      <c r="C774" s="4"/>
      <c r="D774" s="4"/>
      <c r="E774" s="17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7.25" x14ac:dyDescent="0.15">
      <c r="A775" s="4"/>
      <c r="B775" s="4"/>
      <c r="C775" s="4"/>
      <c r="D775" s="4"/>
      <c r="E775" s="17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7.25" x14ac:dyDescent="0.15">
      <c r="A776" s="4"/>
      <c r="B776" s="4"/>
      <c r="C776" s="4"/>
      <c r="D776" s="4"/>
      <c r="E776" s="17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7.25" x14ac:dyDescent="0.15">
      <c r="A777" s="4"/>
      <c r="B777" s="4"/>
      <c r="C777" s="4"/>
      <c r="D777" s="4"/>
      <c r="E777" s="17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7.25" x14ac:dyDescent="0.15">
      <c r="A778" s="4"/>
      <c r="B778" s="4"/>
      <c r="C778" s="4"/>
      <c r="D778" s="4"/>
      <c r="E778" s="17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7.25" x14ac:dyDescent="0.15">
      <c r="A779" s="4"/>
      <c r="B779" s="4"/>
      <c r="C779" s="4"/>
      <c r="D779" s="4"/>
      <c r="E779" s="17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7.25" x14ac:dyDescent="0.15">
      <c r="A780" s="4"/>
      <c r="B780" s="4"/>
      <c r="C780" s="4"/>
      <c r="D780" s="4"/>
      <c r="E780" s="17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7.25" x14ac:dyDescent="0.15">
      <c r="A781" s="4"/>
      <c r="B781" s="4"/>
      <c r="C781" s="4"/>
      <c r="D781" s="4"/>
      <c r="E781" s="17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7.25" x14ac:dyDescent="0.15">
      <c r="A782" s="4"/>
      <c r="B782" s="4"/>
      <c r="C782" s="4"/>
      <c r="D782" s="4"/>
      <c r="E782" s="17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7.25" x14ac:dyDescent="0.15">
      <c r="A783" s="4"/>
      <c r="B783" s="4"/>
      <c r="C783" s="4"/>
      <c r="D783" s="4"/>
      <c r="E783" s="17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7.25" x14ac:dyDescent="0.15">
      <c r="A784" s="4"/>
      <c r="B784" s="4"/>
      <c r="C784" s="4"/>
      <c r="D784" s="4"/>
      <c r="E784" s="17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7.25" x14ac:dyDescent="0.15">
      <c r="A785" s="4"/>
      <c r="B785" s="4"/>
      <c r="C785" s="4"/>
      <c r="D785" s="4"/>
      <c r="E785" s="17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7.25" x14ac:dyDescent="0.15">
      <c r="A786" s="4"/>
      <c r="B786" s="4"/>
      <c r="C786" s="4"/>
      <c r="D786" s="4"/>
      <c r="E786" s="17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7.25" x14ac:dyDescent="0.15">
      <c r="A787" s="4"/>
      <c r="B787" s="4"/>
      <c r="C787" s="4"/>
      <c r="D787" s="4"/>
      <c r="E787" s="17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7.25" x14ac:dyDescent="0.15">
      <c r="A788" s="4"/>
      <c r="B788" s="4"/>
      <c r="C788" s="4"/>
      <c r="D788" s="4"/>
      <c r="E788" s="17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7.25" x14ac:dyDescent="0.15">
      <c r="A789" s="4"/>
      <c r="B789" s="4"/>
      <c r="C789" s="4"/>
      <c r="D789" s="4"/>
      <c r="E789" s="17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7.25" x14ac:dyDescent="0.15">
      <c r="A790" s="4"/>
      <c r="B790" s="4"/>
      <c r="C790" s="4"/>
      <c r="D790" s="4"/>
      <c r="E790" s="17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7.25" x14ac:dyDescent="0.15">
      <c r="A791" s="4"/>
      <c r="B791" s="4"/>
      <c r="C791" s="4"/>
      <c r="D791" s="4"/>
      <c r="E791" s="17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7.25" x14ac:dyDescent="0.15">
      <c r="A792" s="4"/>
      <c r="B792" s="4"/>
      <c r="C792" s="4"/>
      <c r="D792" s="4"/>
      <c r="E792" s="17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7.25" x14ac:dyDescent="0.15">
      <c r="A793" s="4"/>
      <c r="B793" s="4"/>
      <c r="C793" s="4"/>
      <c r="D793" s="4"/>
      <c r="E793" s="17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7.25" x14ac:dyDescent="0.15">
      <c r="A794" s="4"/>
      <c r="B794" s="4"/>
      <c r="C794" s="4"/>
      <c r="D794" s="4"/>
      <c r="E794" s="17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7.25" x14ac:dyDescent="0.15">
      <c r="A795" s="4"/>
      <c r="B795" s="4"/>
      <c r="C795" s="4"/>
      <c r="D795" s="4"/>
      <c r="E795" s="17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7.25" x14ac:dyDescent="0.15">
      <c r="A796" s="4"/>
      <c r="B796" s="4"/>
      <c r="C796" s="4"/>
      <c r="D796" s="4"/>
      <c r="E796" s="17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7.25" x14ac:dyDescent="0.15">
      <c r="A797" s="4"/>
      <c r="B797" s="4"/>
      <c r="C797" s="4"/>
      <c r="D797" s="4"/>
      <c r="E797" s="17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7.25" x14ac:dyDescent="0.15">
      <c r="A798" s="4"/>
      <c r="B798" s="4"/>
      <c r="C798" s="4"/>
      <c r="D798" s="4"/>
      <c r="E798" s="17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7.25" x14ac:dyDescent="0.15">
      <c r="A799" s="4"/>
      <c r="B799" s="4"/>
      <c r="C799" s="4"/>
      <c r="D799" s="4"/>
      <c r="E799" s="17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7.25" x14ac:dyDescent="0.15">
      <c r="A800" s="4"/>
      <c r="B800" s="4"/>
      <c r="C800" s="4"/>
      <c r="D800" s="4"/>
      <c r="E800" s="17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7.25" x14ac:dyDescent="0.15">
      <c r="A801" s="4"/>
      <c r="B801" s="4"/>
      <c r="C801" s="4"/>
      <c r="D801" s="4"/>
      <c r="E801" s="17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7.25" x14ac:dyDescent="0.15">
      <c r="A802" s="4"/>
      <c r="B802" s="4"/>
      <c r="C802" s="4"/>
      <c r="D802" s="4"/>
      <c r="E802" s="17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7.25" x14ac:dyDescent="0.15">
      <c r="A803" s="4"/>
      <c r="B803" s="4"/>
      <c r="C803" s="4"/>
      <c r="D803" s="4"/>
      <c r="E803" s="17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7.25" x14ac:dyDescent="0.15">
      <c r="A804" s="4"/>
      <c r="B804" s="4"/>
      <c r="C804" s="4"/>
      <c r="D804" s="4"/>
      <c r="E804" s="17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7.25" x14ac:dyDescent="0.15">
      <c r="A805" s="4"/>
      <c r="B805" s="4"/>
      <c r="C805" s="4"/>
      <c r="D805" s="4"/>
      <c r="E805" s="17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7.25" x14ac:dyDescent="0.15">
      <c r="A806" s="4"/>
      <c r="B806" s="4"/>
      <c r="C806" s="4"/>
      <c r="D806" s="4"/>
      <c r="E806" s="17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7.25" x14ac:dyDescent="0.15">
      <c r="A807" s="4"/>
      <c r="B807" s="4"/>
      <c r="C807" s="4"/>
      <c r="D807" s="4"/>
      <c r="E807" s="17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7.25" x14ac:dyDescent="0.15">
      <c r="A808" s="4"/>
      <c r="B808" s="4"/>
      <c r="C808" s="4"/>
      <c r="D808" s="4"/>
      <c r="E808" s="17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7.25" x14ac:dyDescent="0.15">
      <c r="A809" s="4"/>
      <c r="B809" s="4"/>
      <c r="C809" s="4"/>
      <c r="D809" s="4"/>
      <c r="E809" s="17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7.25" x14ac:dyDescent="0.15">
      <c r="A810" s="4"/>
      <c r="B810" s="4"/>
      <c r="C810" s="4"/>
      <c r="D810" s="4"/>
      <c r="E810" s="17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7.25" x14ac:dyDescent="0.15">
      <c r="A811" s="4"/>
      <c r="B811" s="4"/>
      <c r="C811" s="4"/>
      <c r="D811" s="4"/>
      <c r="E811" s="17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7.25" x14ac:dyDescent="0.15">
      <c r="A812" s="4"/>
      <c r="B812" s="4"/>
      <c r="C812" s="4"/>
      <c r="D812" s="4"/>
      <c r="E812" s="17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7.25" x14ac:dyDescent="0.15">
      <c r="A813" s="4"/>
      <c r="B813" s="4"/>
      <c r="C813" s="4"/>
      <c r="D813" s="4"/>
      <c r="E813" s="17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7.25" x14ac:dyDescent="0.15">
      <c r="A814" s="4"/>
      <c r="B814" s="4"/>
      <c r="C814" s="4"/>
      <c r="D814" s="4"/>
      <c r="E814" s="17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7.25" x14ac:dyDescent="0.15">
      <c r="A815" s="4"/>
      <c r="B815" s="4"/>
      <c r="C815" s="4"/>
      <c r="D815" s="4"/>
      <c r="E815" s="17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7.25" x14ac:dyDescent="0.15">
      <c r="A816" s="4"/>
      <c r="B816" s="4"/>
      <c r="C816" s="4"/>
      <c r="D816" s="4"/>
      <c r="E816" s="17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7.25" x14ac:dyDescent="0.15">
      <c r="A817" s="4"/>
      <c r="B817" s="4"/>
      <c r="C817" s="4"/>
      <c r="D817" s="4"/>
      <c r="E817" s="17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7.25" x14ac:dyDescent="0.15">
      <c r="A818" s="4"/>
      <c r="B818" s="4"/>
      <c r="C818" s="4"/>
      <c r="D818" s="4"/>
      <c r="E818" s="17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7.25" x14ac:dyDescent="0.15">
      <c r="A819" s="4"/>
      <c r="B819" s="4"/>
      <c r="C819" s="4"/>
      <c r="D819" s="4"/>
      <c r="E819" s="17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7.25" x14ac:dyDescent="0.15">
      <c r="A820" s="4"/>
      <c r="B820" s="4"/>
      <c r="C820" s="4"/>
      <c r="D820" s="4"/>
      <c r="E820" s="17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7.25" x14ac:dyDescent="0.15">
      <c r="A821" s="4"/>
      <c r="B821" s="4"/>
      <c r="C821" s="4"/>
      <c r="D821" s="4"/>
      <c r="E821" s="17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7.25" x14ac:dyDescent="0.15">
      <c r="A822" s="4"/>
      <c r="B822" s="4"/>
      <c r="C822" s="4"/>
      <c r="D822" s="4"/>
      <c r="E822" s="17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7.25" x14ac:dyDescent="0.15">
      <c r="A823" s="4"/>
      <c r="B823" s="4"/>
      <c r="C823" s="4"/>
      <c r="D823" s="4"/>
      <c r="E823" s="17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7.25" x14ac:dyDescent="0.15">
      <c r="A824" s="4"/>
      <c r="B824" s="4"/>
      <c r="C824" s="4"/>
      <c r="D824" s="4"/>
      <c r="E824" s="17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7.25" x14ac:dyDescent="0.15">
      <c r="A825" s="4"/>
      <c r="B825" s="4"/>
      <c r="C825" s="4"/>
      <c r="D825" s="4"/>
      <c r="E825" s="17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7.25" x14ac:dyDescent="0.15">
      <c r="A826" s="4"/>
      <c r="B826" s="4"/>
      <c r="C826" s="4"/>
      <c r="D826" s="4"/>
      <c r="E826" s="17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7.25" x14ac:dyDescent="0.15">
      <c r="A827" s="4"/>
      <c r="B827" s="4"/>
      <c r="C827" s="4"/>
      <c r="D827" s="4"/>
      <c r="E827" s="17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7.25" x14ac:dyDescent="0.15">
      <c r="A828" s="4"/>
      <c r="B828" s="4"/>
      <c r="C828" s="4"/>
      <c r="D828" s="4"/>
      <c r="E828" s="17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7.25" x14ac:dyDescent="0.15">
      <c r="A829" s="4"/>
      <c r="B829" s="4"/>
      <c r="C829" s="4"/>
      <c r="D829" s="4"/>
      <c r="E829" s="17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7.25" x14ac:dyDescent="0.15">
      <c r="A830" s="4"/>
      <c r="B830" s="4"/>
      <c r="C830" s="4"/>
      <c r="D830" s="4"/>
      <c r="E830" s="17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7.25" x14ac:dyDescent="0.15">
      <c r="A831" s="4"/>
      <c r="B831" s="4"/>
      <c r="C831" s="4"/>
      <c r="D831" s="4"/>
      <c r="E831" s="17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7.25" x14ac:dyDescent="0.15">
      <c r="A832" s="4"/>
      <c r="B832" s="4"/>
      <c r="C832" s="4"/>
      <c r="D832" s="4"/>
      <c r="E832" s="17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7.25" x14ac:dyDescent="0.15">
      <c r="A833" s="4"/>
      <c r="B833" s="4"/>
      <c r="C833" s="4"/>
      <c r="D833" s="4"/>
      <c r="E833" s="17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7.25" x14ac:dyDescent="0.15">
      <c r="A834" s="4"/>
      <c r="B834" s="4"/>
      <c r="C834" s="4"/>
      <c r="D834" s="4"/>
      <c r="E834" s="17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7.25" x14ac:dyDescent="0.15">
      <c r="A835" s="4"/>
      <c r="B835" s="4"/>
      <c r="C835" s="4"/>
      <c r="D835" s="4"/>
      <c r="E835" s="17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7.25" x14ac:dyDescent="0.15">
      <c r="A836" s="4"/>
      <c r="B836" s="4"/>
      <c r="C836" s="4"/>
      <c r="D836" s="4"/>
      <c r="E836" s="17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7.25" x14ac:dyDescent="0.15">
      <c r="A837" s="4"/>
      <c r="B837" s="4"/>
      <c r="C837" s="4"/>
      <c r="D837" s="4"/>
      <c r="E837" s="17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7.25" x14ac:dyDescent="0.15">
      <c r="A838" s="4"/>
      <c r="B838" s="4"/>
      <c r="C838" s="4"/>
      <c r="D838" s="4"/>
      <c r="E838" s="17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7.25" x14ac:dyDescent="0.15">
      <c r="A839" s="4"/>
      <c r="B839" s="4"/>
      <c r="C839" s="4"/>
      <c r="D839" s="4"/>
      <c r="E839" s="17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7.25" x14ac:dyDescent="0.15">
      <c r="A840" s="4"/>
      <c r="B840" s="4"/>
      <c r="C840" s="4"/>
      <c r="D840" s="4"/>
      <c r="E840" s="17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7.25" x14ac:dyDescent="0.15">
      <c r="A841" s="4"/>
      <c r="B841" s="4"/>
      <c r="C841" s="4"/>
      <c r="D841" s="4"/>
      <c r="E841" s="17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7.25" x14ac:dyDescent="0.15">
      <c r="A842" s="4"/>
      <c r="B842" s="4"/>
      <c r="C842" s="4"/>
      <c r="D842" s="4"/>
      <c r="E842" s="17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7.25" x14ac:dyDescent="0.15">
      <c r="A843" s="4"/>
      <c r="B843" s="4"/>
      <c r="C843" s="4"/>
      <c r="D843" s="4"/>
      <c r="E843" s="17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7.25" x14ac:dyDescent="0.15">
      <c r="A844" s="4"/>
      <c r="B844" s="4"/>
      <c r="C844" s="4"/>
      <c r="D844" s="4"/>
      <c r="E844" s="17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7.25" x14ac:dyDescent="0.15">
      <c r="A845" s="4"/>
      <c r="B845" s="4"/>
      <c r="C845" s="4"/>
      <c r="D845" s="4"/>
      <c r="E845" s="17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7.25" x14ac:dyDescent="0.15">
      <c r="A846" s="4"/>
      <c r="B846" s="4"/>
      <c r="C846" s="4"/>
      <c r="D846" s="4"/>
      <c r="E846" s="17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7.25" x14ac:dyDescent="0.15">
      <c r="A847" s="4"/>
      <c r="B847" s="4"/>
      <c r="C847" s="4"/>
      <c r="D847" s="4"/>
      <c r="E847" s="17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7.25" x14ac:dyDescent="0.15">
      <c r="A848" s="4"/>
      <c r="B848" s="4"/>
      <c r="C848" s="4"/>
      <c r="D848" s="4"/>
      <c r="E848" s="17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7.25" x14ac:dyDescent="0.15">
      <c r="A849" s="4"/>
      <c r="B849" s="4"/>
      <c r="C849" s="4"/>
      <c r="D849" s="4"/>
      <c r="E849" s="17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7.25" x14ac:dyDescent="0.15">
      <c r="A850" s="4"/>
      <c r="B850" s="4"/>
      <c r="C850" s="4"/>
      <c r="D850" s="4"/>
      <c r="E850" s="17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7.25" x14ac:dyDescent="0.15">
      <c r="A851" s="4"/>
      <c r="B851" s="4"/>
      <c r="C851" s="4"/>
      <c r="D851" s="4"/>
      <c r="E851" s="17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7.25" x14ac:dyDescent="0.15">
      <c r="A852" s="4"/>
      <c r="B852" s="4"/>
      <c r="C852" s="4"/>
      <c r="D852" s="4"/>
      <c r="E852" s="17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7.25" x14ac:dyDescent="0.15">
      <c r="A853" s="4"/>
      <c r="B853" s="4"/>
      <c r="C853" s="4"/>
      <c r="D853" s="4"/>
      <c r="E853" s="17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7.25" x14ac:dyDescent="0.15">
      <c r="A854" s="4"/>
      <c r="B854" s="4"/>
      <c r="C854" s="4"/>
      <c r="D854" s="4"/>
      <c r="E854" s="17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7.25" x14ac:dyDescent="0.15">
      <c r="A855" s="4"/>
      <c r="B855" s="4"/>
      <c r="C855" s="4"/>
      <c r="D855" s="4"/>
      <c r="E855" s="17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7.25" x14ac:dyDescent="0.15">
      <c r="A856" s="4"/>
      <c r="B856" s="4"/>
      <c r="C856" s="4"/>
      <c r="D856" s="4"/>
      <c r="E856" s="17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7.25" x14ac:dyDescent="0.15">
      <c r="A857" s="4"/>
      <c r="B857" s="4"/>
      <c r="C857" s="4"/>
      <c r="D857" s="4"/>
      <c r="E857" s="17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7.25" x14ac:dyDescent="0.15">
      <c r="A858" s="4"/>
      <c r="B858" s="4"/>
      <c r="C858" s="4"/>
      <c r="D858" s="4"/>
      <c r="E858" s="17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7.25" x14ac:dyDescent="0.15">
      <c r="A859" s="4"/>
      <c r="B859" s="4"/>
      <c r="C859" s="4"/>
      <c r="D859" s="4"/>
      <c r="E859" s="17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7.25" x14ac:dyDescent="0.15">
      <c r="A860" s="4"/>
      <c r="B860" s="4"/>
      <c r="C860" s="4"/>
      <c r="D860" s="4"/>
      <c r="E860" s="17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7.25" x14ac:dyDescent="0.15">
      <c r="A861" s="4"/>
      <c r="B861" s="4"/>
      <c r="C861" s="4"/>
      <c r="D861" s="4"/>
      <c r="E861" s="17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7.25" x14ac:dyDescent="0.15">
      <c r="A862" s="4"/>
      <c r="B862" s="4"/>
      <c r="C862" s="4"/>
      <c r="D862" s="4"/>
      <c r="E862" s="17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7.25" x14ac:dyDescent="0.15">
      <c r="A863" s="4"/>
      <c r="B863" s="4"/>
      <c r="C863" s="4"/>
      <c r="D863" s="4"/>
      <c r="E863" s="17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7.25" x14ac:dyDescent="0.15">
      <c r="A864" s="4"/>
      <c r="B864" s="4"/>
      <c r="C864" s="4"/>
      <c r="D864" s="4"/>
      <c r="E864" s="17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7.25" x14ac:dyDescent="0.15">
      <c r="A865" s="4"/>
      <c r="B865" s="4"/>
      <c r="C865" s="4"/>
      <c r="D865" s="4"/>
      <c r="E865" s="17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7.25" x14ac:dyDescent="0.15">
      <c r="A866" s="4"/>
      <c r="B866" s="4"/>
      <c r="C866" s="4"/>
      <c r="D866" s="4"/>
      <c r="E866" s="17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7.25" x14ac:dyDescent="0.15">
      <c r="A867" s="4"/>
      <c r="B867" s="4"/>
      <c r="C867" s="4"/>
      <c r="D867" s="4"/>
      <c r="E867" s="17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7.25" x14ac:dyDescent="0.15">
      <c r="A868" s="4"/>
      <c r="B868" s="4"/>
      <c r="C868" s="4"/>
      <c r="D868" s="4"/>
      <c r="E868" s="17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7.25" x14ac:dyDescent="0.15">
      <c r="A869" s="4"/>
      <c r="B869" s="4"/>
      <c r="C869" s="4"/>
      <c r="D869" s="4"/>
      <c r="E869" s="17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7.25" x14ac:dyDescent="0.15">
      <c r="A870" s="4"/>
      <c r="B870" s="4"/>
      <c r="C870" s="4"/>
      <c r="D870" s="4"/>
      <c r="E870" s="17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7.25" x14ac:dyDescent="0.15">
      <c r="A871" s="4"/>
      <c r="B871" s="4"/>
      <c r="C871" s="4"/>
      <c r="D871" s="4"/>
      <c r="E871" s="17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7.25" x14ac:dyDescent="0.15">
      <c r="A872" s="4"/>
      <c r="B872" s="4"/>
      <c r="C872" s="4"/>
      <c r="D872" s="4"/>
      <c r="E872" s="17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7.25" x14ac:dyDescent="0.15">
      <c r="A873" s="4"/>
      <c r="B873" s="4"/>
      <c r="C873" s="4"/>
      <c r="D873" s="4"/>
      <c r="E873" s="17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7.25" x14ac:dyDescent="0.15">
      <c r="A874" s="4"/>
      <c r="B874" s="4"/>
      <c r="C874" s="4"/>
      <c r="D874" s="4"/>
      <c r="E874" s="17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7.25" x14ac:dyDescent="0.15">
      <c r="A875" s="4"/>
      <c r="B875" s="4"/>
      <c r="C875" s="4"/>
      <c r="D875" s="4"/>
      <c r="E875" s="17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7.25" x14ac:dyDescent="0.15">
      <c r="A876" s="4"/>
      <c r="B876" s="4"/>
      <c r="C876" s="4"/>
      <c r="D876" s="4"/>
      <c r="E876" s="17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7.25" x14ac:dyDescent="0.15">
      <c r="A877" s="4"/>
      <c r="B877" s="4"/>
      <c r="C877" s="4"/>
      <c r="D877" s="4"/>
      <c r="E877" s="17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7.25" x14ac:dyDescent="0.15">
      <c r="A878" s="4"/>
      <c r="B878" s="4"/>
      <c r="C878" s="4"/>
      <c r="D878" s="4"/>
      <c r="E878" s="17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7.25" x14ac:dyDescent="0.15">
      <c r="A879" s="4"/>
      <c r="B879" s="4"/>
      <c r="C879" s="4"/>
      <c r="D879" s="4"/>
      <c r="E879" s="17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7.25" x14ac:dyDescent="0.15">
      <c r="A880" s="4"/>
      <c r="B880" s="4"/>
      <c r="C880" s="4"/>
      <c r="D880" s="4"/>
      <c r="E880" s="17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7.25" x14ac:dyDescent="0.15">
      <c r="A881" s="4"/>
      <c r="B881" s="4"/>
      <c r="C881" s="4"/>
      <c r="D881" s="4"/>
      <c r="E881" s="17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7.25" x14ac:dyDescent="0.15">
      <c r="A882" s="4"/>
      <c r="B882" s="4"/>
      <c r="C882" s="4"/>
      <c r="D882" s="4"/>
      <c r="E882" s="17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7.25" x14ac:dyDescent="0.15">
      <c r="A883" s="4"/>
      <c r="B883" s="4"/>
      <c r="C883" s="4"/>
      <c r="D883" s="4"/>
      <c r="E883" s="17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7.25" x14ac:dyDescent="0.15">
      <c r="A884" s="4"/>
      <c r="B884" s="4"/>
      <c r="C884" s="4"/>
      <c r="D884" s="4"/>
      <c r="E884" s="17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7.25" x14ac:dyDescent="0.15">
      <c r="A885" s="4"/>
      <c r="B885" s="4"/>
      <c r="C885" s="4"/>
      <c r="D885" s="4"/>
      <c r="E885" s="17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7.25" x14ac:dyDescent="0.15">
      <c r="A886" s="4"/>
      <c r="B886" s="4"/>
      <c r="C886" s="4"/>
      <c r="D886" s="4"/>
      <c r="E886" s="17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7.25" x14ac:dyDescent="0.15">
      <c r="A887" s="4"/>
      <c r="B887" s="4"/>
      <c r="C887" s="4"/>
      <c r="D887" s="4"/>
      <c r="E887" s="17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7.25" x14ac:dyDescent="0.15">
      <c r="A888" s="4"/>
      <c r="B888" s="4"/>
      <c r="C888" s="4"/>
      <c r="D888" s="4"/>
      <c r="E888" s="17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7.25" x14ac:dyDescent="0.15">
      <c r="A889" s="4"/>
      <c r="B889" s="4"/>
      <c r="C889" s="4"/>
      <c r="D889" s="4"/>
      <c r="E889" s="17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7.25" x14ac:dyDescent="0.15">
      <c r="A890" s="4"/>
      <c r="B890" s="4"/>
      <c r="C890" s="4"/>
      <c r="D890" s="4"/>
      <c r="E890" s="17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7.25" x14ac:dyDescent="0.15">
      <c r="A891" s="4"/>
      <c r="B891" s="4"/>
      <c r="C891" s="4"/>
      <c r="D891" s="4"/>
      <c r="E891" s="17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7.25" x14ac:dyDescent="0.15">
      <c r="A892" s="4"/>
      <c r="B892" s="4"/>
      <c r="C892" s="4"/>
      <c r="D892" s="4"/>
      <c r="E892" s="17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7.25" x14ac:dyDescent="0.15">
      <c r="A893" s="4"/>
      <c r="B893" s="4"/>
      <c r="C893" s="4"/>
      <c r="D893" s="4"/>
      <c r="E893" s="17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7.25" x14ac:dyDescent="0.15">
      <c r="A894" s="4"/>
      <c r="B894" s="4"/>
      <c r="C894" s="4"/>
      <c r="D894" s="4"/>
      <c r="E894" s="17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7.25" x14ac:dyDescent="0.15">
      <c r="A895" s="4"/>
      <c r="B895" s="4"/>
      <c r="C895" s="4"/>
      <c r="D895" s="4"/>
      <c r="E895" s="17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7.25" x14ac:dyDescent="0.15">
      <c r="A896" s="4"/>
      <c r="B896" s="4"/>
      <c r="C896" s="4"/>
      <c r="D896" s="4"/>
      <c r="E896" s="17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7.25" x14ac:dyDescent="0.15">
      <c r="A897" s="4"/>
      <c r="B897" s="4"/>
      <c r="C897" s="4"/>
      <c r="D897" s="4"/>
      <c r="E897" s="17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7.25" x14ac:dyDescent="0.15">
      <c r="A898" s="4"/>
      <c r="B898" s="4"/>
      <c r="C898" s="4"/>
      <c r="D898" s="4"/>
      <c r="E898" s="17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7.25" x14ac:dyDescent="0.15">
      <c r="A899" s="4"/>
      <c r="B899" s="4"/>
      <c r="C899" s="4"/>
      <c r="D899" s="4"/>
      <c r="E899" s="17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7.25" x14ac:dyDescent="0.15">
      <c r="A900" s="4"/>
      <c r="B900" s="4"/>
      <c r="C900" s="4"/>
      <c r="D900" s="4"/>
      <c r="E900" s="17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7.25" x14ac:dyDescent="0.15">
      <c r="A901" s="4"/>
      <c r="B901" s="4"/>
      <c r="C901" s="4"/>
      <c r="D901" s="4"/>
      <c r="E901" s="17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7.25" x14ac:dyDescent="0.15">
      <c r="A902" s="4"/>
      <c r="B902" s="4"/>
      <c r="C902" s="4"/>
      <c r="D902" s="4"/>
      <c r="E902" s="17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7.25" x14ac:dyDescent="0.15">
      <c r="A903" s="4"/>
      <c r="B903" s="4"/>
      <c r="C903" s="4"/>
      <c r="D903" s="4"/>
      <c r="E903" s="17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7.25" x14ac:dyDescent="0.15">
      <c r="A904" s="4"/>
      <c r="B904" s="4"/>
      <c r="C904" s="4"/>
      <c r="D904" s="4"/>
      <c r="E904" s="17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7.25" x14ac:dyDescent="0.15">
      <c r="A905" s="4"/>
      <c r="B905" s="4"/>
      <c r="C905" s="4"/>
      <c r="D905" s="4"/>
      <c r="E905" s="17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7.25" x14ac:dyDescent="0.15">
      <c r="A906" s="4"/>
      <c r="B906" s="4"/>
      <c r="C906" s="4"/>
      <c r="D906" s="4"/>
      <c r="E906" s="17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7.25" x14ac:dyDescent="0.15">
      <c r="A907" s="4"/>
      <c r="B907" s="4"/>
      <c r="C907" s="4"/>
      <c r="D907" s="4"/>
      <c r="E907" s="17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7.25" x14ac:dyDescent="0.15">
      <c r="A908" s="4"/>
      <c r="B908" s="4"/>
      <c r="C908" s="4"/>
      <c r="D908" s="4"/>
      <c r="E908" s="17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7.25" x14ac:dyDescent="0.15">
      <c r="A909" s="4"/>
      <c r="B909" s="4"/>
      <c r="C909" s="4"/>
      <c r="D909" s="4"/>
      <c r="E909" s="17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7.25" x14ac:dyDescent="0.15">
      <c r="A910" s="4"/>
      <c r="B910" s="4"/>
      <c r="C910" s="4"/>
      <c r="D910" s="4"/>
      <c r="E910" s="17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7.25" x14ac:dyDescent="0.15">
      <c r="A911" s="4"/>
      <c r="B911" s="4"/>
      <c r="C911" s="4"/>
      <c r="D911" s="4"/>
      <c r="E911" s="17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7.25" x14ac:dyDescent="0.15">
      <c r="A912" s="4"/>
      <c r="B912" s="4"/>
      <c r="C912" s="4"/>
      <c r="D912" s="4"/>
      <c r="E912" s="17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7.25" x14ac:dyDescent="0.15">
      <c r="A913" s="4"/>
      <c r="B913" s="4"/>
      <c r="C913" s="4"/>
      <c r="D913" s="4"/>
      <c r="E913" s="17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7.25" x14ac:dyDescent="0.15">
      <c r="A914" s="4"/>
      <c r="B914" s="4"/>
      <c r="C914" s="4"/>
      <c r="D914" s="4"/>
      <c r="E914" s="17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7.25" x14ac:dyDescent="0.15">
      <c r="A915" s="4"/>
      <c r="B915" s="4"/>
      <c r="C915" s="4"/>
      <c r="D915" s="4"/>
      <c r="E915" s="17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7.25" x14ac:dyDescent="0.15">
      <c r="A916" s="4"/>
      <c r="B916" s="4"/>
      <c r="C916" s="4"/>
      <c r="D916" s="4"/>
      <c r="E916" s="17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7.25" x14ac:dyDescent="0.15">
      <c r="A917" s="4"/>
      <c r="B917" s="4"/>
      <c r="C917" s="4"/>
      <c r="D917" s="4"/>
      <c r="E917" s="17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7.25" x14ac:dyDescent="0.15">
      <c r="A918" s="4"/>
      <c r="B918" s="4"/>
      <c r="C918" s="4"/>
      <c r="D918" s="4"/>
      <c r="E918" s="17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7.25" x14ac:dyDescent="0.15">
      <c r="A919" s="4"/>
      <c r="B919" s="4"/>
      <c r="C919" s="4"/>
      <c r="D919" s="4"/>
      <c r="E919" s="17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7.25" x14ac:dyDescent="0.15">
      <c r="A920" s="4"/>
      <c r="B920" s="4"/>
      <c r="C920" s="4"/>
      <c r="D920" s="4"/>
      <c r="E920" s="17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7.25" x14ac:dyDescent="0.15">
      <c r="A921" s="4"/>
      <c r="B921" s="4"/>
      <c r="C921" s="4"/>
      <c r="D921" s="4"/>
      <c r="E921" s="17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7.25" x14ac:dyDescent="0.15">
      <c r="A922" s="4"/>
      <c r="B922" s="4"/>
      <c r="C922" s="4"/>
      <c r="D922" s="4"/>
      <c r="E922" s="17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7.25" x14ac:dyDescent="0.15">
      <c r="A923" s="4"/>
      <c r="B923" s="4"/>
      <c r="C923" s="4"/>
      <c r="D923" s="4"/>
      <c r="E923" s="17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7.25" x14ac:dyDescent="0.15">
      <c r="A924" s="4"/>
      <c r="B924" s="4"/>
      <c r="C924" s="4"/>
      <c r="D924" s="4"/>
      <c r="E924" s="17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7.25" x14ac:dyDescent="0.15">
      <c r="A925" s="4"/>
      <c r="B925" s="4"/>
      <c r="C925" s="4"/>
      <c r="D925" s="4"/>
      <c r="E925" s="17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7.25" x14ac:dyDescent="0.15">
      <c r="A926" s="4"/>
      <c r="B926" s="4"/>
      <c r="C926" s="4"/>
      <c r="D926" s="4"/>
      <c r="E926" s="17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7.25" x14ac:dyDescent="0.15">
      <c r="A927" s="4"/>
      <c r="B927" s="4"/>
      <c r="C927" s="4"/>
      <c r="D927" s="4"/>
      <c r="E927" s="17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7.25" x14ac:dyDescent="0.15">
      <c r="A928" s="4"/>
      <c r="B928" s="4"/>
      <c r="C928" s="4"/>
      <c r="D928" s="4"/>
      <c r="E928" s="17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7.25" x14ac:dyDescent="0.15">
      <c r="A929" s="4"/>
      <c r="B929" s="4"/>
      <c r="C929" s="4"/>
      <c r="D929" s="4"/>
      <c r="E929" s="17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7.25" x14ac:dyDescent="0.15">
      <c r="A930" s="4"/>
      <c r="B930" s="4"/>
      <c r="C930" s="4"/>
      <c r="D930" s="4"/>
      <c r="E930" s="17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7.25" x14ac:dyDescent="0.15">
      <c r="A931" s="4"/>
      <c r="B931" s="4"/>
      <c r="C931" s="4"/>
      <c r="D931" s="4"/>
      <c r="E931" s="17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7.25" x14ac:dyDescent="0.15">
      <c r="A932" s="4"/>
      <c r="B932" s="4"/>
      <c r="C932" s="4"/>
      <c r="D932" s="4"/>
      <c r="E932" s="17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7.25" x14ac:dyDescent="0.15">
      <c r="A933" s="4"/>
      <c r="B933" s="4"/>
      <c r="C933" s="4"/>
      <c r="D933" s="4"/>
      <c r="E933" s="17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7.25" x14ac:dyDescent="0.15">
      <c r="A934" s="4"/>
      <c r="B934" s="4"/>
      <c r="C934" s="4"/>
      <c r="D934" s="4"/>
      <c r="E934" s="17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7.25" x14ac:dyDescent="0.15">
      <c r="A935" s="4"/>
      <c r="B935" s="4"/>
      <c r="C935" s="4"/>
      <c r="D935" s="4"/>
      <c r="E935" s="17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7.25" x14ac:dyDescent="0.15">
      <c r="A936" s="4"/>
      <c r="B936" s="4"/>
      <c r="C936" s="4"/>
      <c r="D936" s="4"/>
      <c r="E936" s="17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7.25" x14ac:dyDescent="0.15">
      <c r="A937" s="4"/>
      <c r="B937" s="4"/>
      <c r="C937" s="4"/>
      <c r="D937" s="4"/>
      <c r="E937" s="17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7.25" x14ac:dyDescent="0.15">
      <c r="A938" s="4"/>
      <c r="B938" s="4"/>
      <c r="C938" s="4"/>
      <c r="D938" s="4"/>
      <c r="E938" s="17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7.25" x14ac:dyDescent="0.15">
      <c r="A939" s="4"/>
      <c r="B939" s="4"/>
      <c r="C939" s="4"/>
      <c r="D939" s="4"/>
      <c r="E939" s="17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7.25" x14ac:dyDescent="0.15">
      <c r="A940" s="4"/>
      <c r="B940" s="4"/>
      <c r="C940" s="4"/>
      <c r="D940" s="4"/>
      <c r="E940" s="17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7.25" x14ac:dyDescent="0.15">
      <c r="A941" s="4"/>
      <c r="B941" s="4"/>
      <c r="C941" s="4"/>
      <c r="D941" s="4"/>
      <c r="E941" s="17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7.25" x14ac:dyDescent="0.15">
      <c r="A942" s="4"/>
      <c r="B942" s="4"/>
      <c r="C942" s="4"/>
      <c r="D942" s="4"/>
      <c r="E942" s="17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7.25" x14ac:dyDescent="0.15">
      <c r="A943" s="4"/>
      <c r="B943" s="4"/>
      <c r="C943" s="4"/>
      <c r="D943" s="4"/>
      <c r="E943" s="17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7.25" x14ac:dyDescent="0.15">
      <c r="A944" s="4"/>
      <c r="B944" s="4"/>
      <c r="C944" s="4"/>
      <c r="D944" s="4"/>
      <c r="E944" s="17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7.25" x14ac:dyDescent="0.15">
      <c r="A945" s="4"/>
      <c r="B945" s="4"/>
      <c r="C945" s="4"/>
      <c r="D945" s="4"/>
      <c r="E945" s="17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7.25" x14ac:dyDescent="0.15">
      <c r="A946" s="4"/>
      <c r="B946" s="4"/>
      <c r="C946" s="4"/>
      <c r="D946" s="4"/>
      <c r="E946" s="17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7.25" x14ac:dyDescent="0.15">
      <c r="A947" s="4"/>
      <c r="B947" s="4"/>
      <c r="C947" s="4"/>
      <c r="D947" s="4"/>
      <c r="E947" s="17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7.25" x14ac:dyDescent="0.15">
      <c r="A948" s="4"/>
      <c r="B948" s="4"/>
      <c r="C948" s="4"/>
      <c r="D948" s="4"/>
      <c r="E948" s="17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7.25" x14ac:dyDescent="0.15">
      <c r="A949" s="4"/>
      <c r="B949" s="4"/>
      <c r="C949" s="4"/>
      <c r="D949" s="4"/>
      <c r="E949" s="17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7.25" x14ac:dyDescent="0.15">
      <c r="A950" s="4"/>
      <c r="B950" s="4"/>
      <c r="C950" s="4"/>
      <c r="D950" s="4"/>
      <c r="E950" s="17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7.25" x14ac:dyDescent="0.15">
      <c r="A951" s="4"/>
      <c r="B951" s="4"/>
      <c r="C951" s="4"/>
      <c r="D951" s="4"/>
      <c r="E951" s="17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7.25" x14ac:dyDescent="0.15">
      <c r="A952" s="4"/>
      <c r="B952" s="4"/>
      <c r="C952" s="4"/>
      <c r="D952" s="4"/>
      <c r="E952" s="17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7.25" x14ac:dyDescent="0.15">
      <c r="A953" s="4"/>
      <c r="B953" s="4"/>
      <c r="C953" s="4"/>
      <c r="D953" s="4"/>
      <c r="E953" s="17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7.25" x14ac:dyDescent="0.15">
      <c r="A954" s="4"/>
      <c r="B954" s="4"/>
      <c r="C954" s="4"/>
      <c r="D954" s="4"/>
      <c r="E954" s="17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7.25" x14ac:dyDescent="0.15">
      <c r="A955" s="4"/>
      <c r="B955" s="4"/>
      <c r="C955" s="4"/>
      <c r="D955" s="4"/>
      <c r="E955" s="17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7.25" x14ac:dyDescent="0.15">
      <c r="A956" s="4"/>
      <c r="B956" s="4"/>
      <c r="C956" s="4"/>
      <c r="D956" s="4"/>
      <c r="E956" s="17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7.25" x14ac:dyDescent="0.15">
      <c r="A957" s="4"/>
      <c r="B957" s="4"/>
      <c r="C957" s="4"/>
      <c r="D957" s="4"/>
      <c r="E957" s="17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7.25" x14ac:dyDescent="0.15">
      <c r="A958" s="4"/>
      <c r="B958" s="4"/>
      <c r="C958" s="4"/>
      <c r="D958" s="4"/>
      <c r="E958" s="17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7.25" x14ac:dyDescent="0.15">
      <c r="A959" s="4"/>
      <c r="B959" s="4"/>
      <c r="C959" s="4"/>
      <c r="D959" s="4"/>
      <c r="E959" s="17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7.25" x14ac:dyDescent="0.15">
      <c r="A960" s="4"/>
      <c r="B960" s="4"/>
      <c r="C960" s="4"/>
      <c r="D960" s="4"/>
      <c r="E960" s="17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7.25" x14ac:dyDescent="0.15">
      <c r="A961" s="4"/>
      <c r="B961" s="4"/>
      <c r="C961" s="4"/>
      <c r="D961" s="4"/>
      <c r="E961" s="17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7.25" x14ac:dyDescent="0.15">
      <c r="A962" s="4"/>
      <c r="B962" s="4"/>
      <c r="C962" s="4"/>
      <c r="D962" s="4"/>
      <c r="E962" s="17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7.25" x14ac:dyDescent="0.15">
      <c r="A963" s="4"/>
      <c r="B963" s="4"/>
      <c r="C963" s="4"/>
      <c r="D963" s="4"/>
      <c r="E963" s="17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7.25" x14ac:dyDescent="0.15">
      <c r="A964" s="4"/>
      <c r="B964" s="4"/>
      <c r="C964" s="4"/>
      <c r="D964" s="4"/>
      <c r="E964" s="17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7.25" x14ac:dyDescent="0.15">
      <c r="A965" s="4"/>
      <c r="B965" s="4"/>
      <c r="C965" s="4"/>
      <c r="D965" s="4"/>
      <c r="E965" s="17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7.25" x14ac:dyDescent="0.15">
      <c r="A966" s="4"/>
      <c r="B966" s="4"/>
      <c r="C966" s="4"/>
      <c r="D966" s="4"/>
      <c r="E966" s="17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7.25" x14ac:dyDescent="0.15">
      <c r="A967" s="4"/>
      <c r="B967" s="4"/>
      <c r="C967" s="4"/>
      <c r="D967" s="4"/>
      <c r="E967" s="17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7.25" x14ac:dyDescent="0.15">
      <c r="A968" s="4"/>
      <c r="B968" s="4"/>
      <c r="C968" s="4"/>
      <c r="D968" s="4"/>
      <c r="E968" s="17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7.25" x14ac:dyDescent="0.15">
      <c r="A969" s="4"/>
      <c r="B969" s="4"/>
      <c r="C969" s="4"/>
      <c r="D969" s="4"/>
      <c r="E969" s="17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7.25" x14ac:dyDescent="0.15">
      <c r="A970" s="4"/>
      <c r="B970" s="4"/>
      <c r="C970" s="4"/>
      <c r="D970" s="4"/>
      <c r="E970" s="17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7.25" x14ac:dyDescent="0.15">
      <c r="A971" s="4"/>
      <c r="B971" s="4"/>
      <c r="C971" s="4"/>
      <c r="D971" s="4"/>
      <c r="E971" s="17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7.25" x14ac:dyDescent="0.15">
      <c r="A972" s="4"/>
      <c r="B972" s="4"/>
      <c r="C972" s="4"/>
      <c r="D972" s="4"/>
      <c r="E972" s="17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7.25" x14ac:dyDescent="0.15">
      <c r="A973" s="4"/>
      <c r="B973" s="4"/>
      <c r="C973" s="4"/>
      <c r="D973" s="4"/>
      <c r="E973" s="17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7.25" x14ac:dyDescent="0.15">
      <c r="A974" s="4"/>
      <c r="B974" s="4"/>
      <c r="C974" s="4"/>
      <c r="D974" s="4"/>
      <c r="E974" s="17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7.25" x14ac:dyDescent="0.15">
      <c r="A975" s="4"/>
      <c r="B975" s="4"/>
      <c r="C975" s="4"/>
      <c r="D975" s="4"/>
      <c r="E975" s="17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7.25" x14ac:dyDescent="0.15">
      <c r="A976" s="4"/>
      <c r="B976" s="4"/>
      <c r="C976" s="4"/>
      <c r="D976" s="4"/>
      <c r="E976" s="17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7.25" x14ac:dyDescent="0.15">
      <c r="A977" s="4"/>
      <c r="B977" s="4"/>
      <c r="C977" s="4"/>
      <c r="D977" s="4"/>
      <c r="E977" s="17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7.25" x14ac:dyDescent="0.15">
      <c r="A978" s="4"/>
      <c r="B978" s="4"/>
      <c r="C978" s="4"/>
      <c r="D978" s="4"/>
      <c r="E978" s="17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7.25" x14ac:dyDescent="0.15">
      <c r="A979" s="4"/>
      <c r="B979" s="4"/>
      <c r="C979" s="4"/>
      <c r="D979" s="4"/>
      <c r="E979" s="17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7.25" x14ac:dyDescent="0.15">
      <c r="A980" s="4"/>
      <c r="B980" s="4"/>
      <c r="C980" s="4"/>
      <c r="D980" s="4"/>
      <c r="E980" s="17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7.25" x14ac:dyDescent="0.15">
      <c r="A981" s="4"/>
      <c r="B981" s="4"/>
      <c r="C981" s="4"/>
      <c r="D981" s="4"/>
      <c r="E981" s="17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7.25" x14ac:dyDescent="0.15">
      <c r="A982" s="4"/>
      <c r="B982" s="4"/>
      <c r="C982" s="4"/>
      <c r="D982" s="4"/>
      <c r="E982" s="17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7.25" x14ac:dyDescent="0.15">
      <c r="A983" s="4"/>
      <c r="B983" s="4"/>
      <c r="C983" s="4"/>
      <c r="D983" s="4"/>
      <c r="E983" s="17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7.25" x14ac:dyDescent="0.15">
      <c r="A984" s="4"/>
      <c r="B984" s="4"/>
      <c r="C984" s="4"/>
      <c r="D984" s="4"/>
      <c r="E984" s="17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2384D"/>
    <outlinePr summaryBelow="0" summaryRight="0"/>
  </sheetPr>
  <dimension ref="A1:AN925"/>
  <sheetViews>
    <sheetView workbookViewId="0"/>
  </sheetViews>
  <sheetFormatPr defaultColWidth="12.5390625" defaultRowHeight="15.75" customHeight="1" outlineLevelCol="1" x14ac:dyDescent="0.15"/>
  <cols>
    <col min="1" max="1" width="33.44140625" customWidth="1"/>
    <col min="2" max="2" width="13.484375" customWidth="1" collapsed="1"/>
    <col min="3" max="3" width="11.59375" hidden="1" customWidth="1" outlineLevel="1"/>
    <col min="4" max="4" width="11.73046875" hidden="1" customWidth="1" outlineLevel="1"/>
    <col min="5" max="5" width="12" hidden="1" customWidth="1" outlineLevel="1"/>
    <col min="6" max="6" width="11.59375" hidden="1" customWidth="1" outlineLevel="1"/>
    <col min="7" max="7" width="11.73046875" hidden="1" customWidth="1" outlineLevel="1"/>
    <col min="8" max="11" width="12" hidden="1" customWidth="1" outlineLevel="1"/>
    <col min="12" max="14" width="11.59375" hidden="1" customWidth="1" outlineLevel="1"/>
    <col min="15" max="15" width="13.484375" customWidth="1" collapsed="1"/>
    <col min="16" max="16" width="10.65234375" hidden="1" customWidth="1" outlineLevel="1"/>
    <col min="17" max="17" width="11.73046875" hidden="1" customWidth="1" outlineLevel="1"/>
    <col min="18" max="18" width="12.13671875" hidden="1" customWidth="1" outlineLevel="1"/>
    <col min="19" max="19" width="12.5390625" hidden="1" customWidth="1" outlineLevel="1"/>
    <col min="20" max="20" width="12" hidden="1" customWidth="1" outlineLevel="1"/>
    <col min="21" max="21" width="11.32421875" hidden="1" customWidth="1" outlineLevel="1"/>
    <col min="22" max="23" width="7.68359375" hidden="1" customWidth="1" outlineLevel="1"/>
    <col min="24" max="24" width="10.515625" hidden="1" customWidth="1" outlineLevel="1"/>
    <col min="25" max="26" width="7.68359375" hidden="1" customWidth="1" outlineLevel="1"/>
    <col min="27" max="27" width="12.13671875" hidden="1" customWidth="1" outlineLevel="1"/>
    <col min="28" max="28" width="16.71875" customWidth="1" collapsed="1"/>
    <col min="29" max="30" width="11.8671875" hidden="1" customWidth="1" outlineLevel="1"/>
    <col min="31" max="34" width="11.73046875" hidden="1" customWidth="1" outlineLevel="1"/>
    <col min="35" max="39" width="7.68359375" hidden="1" customWidth="1" outlineLevel="1"/>
    <col min="40" max="40" width="6.7421875" hidden="1" customWidth="1" outlineLevel="1"/>
  </cols>
  <sheetData>
    <row r="1" spans="1:40" ht="42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18" customHeight="1" x14ac:dyDescent="0.15">
      <c r="A2" s="161" t="s">
        <v>54</v>
      </c>
      <c r="B2" s="162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17.25" x14ac:dyDescent="0.15">
      <c r="A3" s="19"/>
      <c r="B3" s="19"/>
      <c r="C3" s="19"/>
      <c r="D3" s="19"/>
      <c r="E3" s="19"/>
      <c r="F3" s="19"/>
      <c r="G3" s="19"/>
      <c r="H3" s="19"/>
      <c r="I3" s="19"/>
      <c r="J3" s="70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7.25" x14ac:dyDescent="0.15">
      <c r="A4" s="163" t="s">
        <v>172</v>
      </c>
      <c r="B4" s="16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1" x14ac:dyDescent="0.4">
      <c r="A5" s="56" t="s">
        <v>100</v>
      </c>
      <c r="B5" s="57">
        <v>45291</v>
      </c>
      <c r="C5" s="60">
        <v>44927</v>
      </c>
      <c r="D5" s="60">
        <v>44958</v>
      </c>
      <c r="E5" s="58">
        <v>44986</v>
      </c>
      <c r="F5" s="58">
        <v>45017</v>
      </c>
      <c r="G5" s="58">
        <v>45047</v>
      </c>
      <c r="H5" s="58">
        <v>45078</v>
      </c>
      <c r="I5" s="58">
        <v>45108</v>
      </c>
      <c r="J5" s="58">
        <v>45139</v>
      </c>
      <c r="K5" s="58">
        <v>45170</v>
      </c>
      <c r="L5" s="58">
        <v>45200</v>
      </c>
      <c r="M5" s="58">
        <v>45231</v>
      </c>
      <c r="N5" s="58">
        <v>45261</v>
      </c>
      <c r="O5" s="84">
        <v>2024</v>
      </c>
      <c r="P5" s="60">
        <v>45292</v>
      </c>
      <c r="Q5" s="60">
        <v>45323</v>
      </c>
      <c r="R5" s="60">
        <v>45352</v>
      </c>
      <c r="S5" s="60">
        <v>45383</v>
      </c>
      <c r="T5" s="60">
        <v>45413</v>
      </c>
      <c r="U5" s="60">
        <v>45444</v>
      </c>
      <c r="V5" s="60">
        <v>45474</v>
      </c>
      <c r="W5" s="60">
        <v>45505</v>
      </c>
      <c r="X5" s="60">
        <v>45536</v>
      </c>
      <c r="Y5" s="60">
        <v>45566</v>
      </c>
      <c r="Z5" s="60">
        <v>45597</v>
      </c>
      <c r="AA5" s="60">
        <v>45627</v>
      </c>
      <c r="AB5" s="84">
        <v>2025</v>
      </c>
      <c r="AC5" s="60">
        <v>45658</v>
      </c>
      <c r="AD5" s="60">
        <v>45689</v>
      </c>
      <c r="AE5" s="60">
        <v>45717</v>
      </c>
      <c r="AF5" s="60">
        <v>45748</v>
      </c>
      <c r="AG5" s="60">
        <v>45778</v>
      </c>
      <c r="AH5" s="60">
        <v>45809</v>
      </c>
      <c r="AI5" s="60">
        <v>45839</v>
      </c>
      <c r="AJ5" s="60">
        <v>45870</v>
      </c>
      <c r="AK5" s="60">
        <v>45901</v>
      </c>
      <c r="AL5" s="60">
        <v>45931</v>
      </c>
      <c r="AM5" s="60">
        <v>45962</v>
      </c>
      <c r="AN5" s="60">
        <v>45992</v>
      </c>
    </row>
    <row r="6" spans="1:40" ht="17.25" x14ac:dyDescent="0.3">
      <c r="A6" s="139" t="s">
        <v>40</v>
      </c>
      <c r="B6" s="140">
        <f t="shared" ref="B6:B8" si="0">SUM(C6:N6)</f>
        <v>107242546.19904</v>
      </c>
      <c r="C6" s="141">
        <f>'CASH FLOW'!D35</f>
        <v>0</v>
      </c>
      <c r="D6" s="141">
        <f>'CASH FLOW'!E35</f>
        <v>0</v>
      </c>
      <c r="E6" s="141">
        <f>'CASH FLOW'!F35</f>
        <v>0</v>
      </c>
      <c r="F6" s="141">
        <f>'CASH FLOW'!G35</f>
        <v>0</v>
      </c>
      <c r="G6" s="141">
        <f>'CASH FLOW'!H35</f>
        <v>3635340.5491200006</v>
      </c>
      <c r="H6" s="141">
        <f>'CASH FLOW'!I35</f>
        <v>9088351.3728</v>
      </c>
      <c r="I6" s="141">
        <f>'CASH FLOW'!J35</f>
        <v>12723691.921919998</v>
      </c>
      <c r="J6" s="141">
        <f>'CASH FLOW'!K35</f>
        <v>14541362.196480002</v>
      </c>
      <c r="K6" s="141">
        <f>'CASH FLOW'!L35</f>
        <v>12723691.921919998</v>
      </c>
      <c r="L6" s="141">
        <f>'CASH FLOW'!M35</f>
        <v>18176702.7456</v>
      </c>
      <c r="M6" s="141">
        <f>'CASH FLOW'!N35</f>
        <v>18176702.7456</v>
      </c>
      <c r="N6" s="141">
        <f>'CASH FLOW'!O35</f>
        <v>18176702.7456</v>
      </c>
      <c r="O6" s="140">
        <f t="shared" ref="O6:O8" si="1">SUM(P6:AA6)</f>
        <v>328998319.69535995</v>
      </c>
      <c r="P6" s="141">
        <f>'CASH FLOW'!Q35</f>
        <v>18176702.7456</v>
      </c>
      <c r="Q6" s="141">
        <f>'CASH FLOW'!R35</f>
        <v>21812043.294720002</v>
      </c>
      <c r="R6" s="141">
        <f>'CASH FLOW'!S35</f>
        <v>27265054.118399996</v>
      </c>
      <c r="S6" s="141">
        <f>'CASH FLOW'!T35</f>
        <v>27265054.118399996</v>
      </c>
      <c r="T6" s="141">
        <f>'CASH FLOW'!U35</f>
        <v>27265054.118399996</v>
      </c>
      <c r="U6" s="141">
        <f>'CASH FLOW'!V35</f>
        <v>27265054.118399996</v>
      </c>
      <c r="V6" s="141">
        <f>'CASH FLOW'!W35</f>
        <v>23629713.569279999</v>
      </c>
      <c r="W6" s="141">
        <f>'CASH FLOW'!X35</f>
        <v>21812043.294720002</v>
      </c>
      <c r="X6" s="141">
        <f>'CASH FLOW'!Y35</f>
        <v>27265054.118399996</v>
      </c>
      <c r="Y6" s="141">
        <f>'CASH FLOW'!Z35</f>
        <v>30900394.667519998</v>
      </c>
      <c r="Z6" s="141">
        <f>'CASH FLOW'!AA35</f>
        <v>36353405.4912</v>
      </c>
      <c r="AA6" s="141">
        <f>'CASH FLOW'!AB35</f>
        <v>39988746.040320002</v>
      </c>
      <c r="AB6" s="140">
        <f t="shared" ref="AB6:AB8" si="2">SUM(AC6:AN6)</f>
        <v>1063337110.6176001</v>
      </c>
      <c r="AC6" s="141">
        <f>'CASH FLOW'!AD35</f>
        <v>45441756.864</v>
      </c>
      <c r="AD6" s="141">
        <f>'CASH FLOW'!AE35</f>
        <v>45441756.864</v>
      </c>
      <c r="AE6" s="141">
        <f>'CASH FLOW'!AF35</f>
        <v>49077097.413120002</v>
      </c>
      <c r="AF6" s="141">
        <f>'CASH FLOW'!AG35</f>
        <v>58165448.785920009</v>
      </c>
      <c r="AG6" s="141">
        <f>'CASH FLOW'!AH35</f>
        <v>63618459.609599993</v>
      </c>
      <c r="AH6" s="141">
        <f>'CASH FLOW'!AI35</f>
        <v>70889140.707840011</v>
      </c>
      <c r="AI6" s="141">
        <f>'CASH FLOW'!AJ35</f>
        <v>85430502.904319987</v>
      </c>
      <c r="AJ6" s="141">
        <f>'CASH FLOW'!AK35</f>
        <v>98154194.826240003</v>
      </c>
      <c r="AK6" s="141">
        <f>'CASH FLOW'!AL35</f>
        <v>112695557.02271998</v>
      </c>
      <c r="AL6" s="141">
        <f>'CASH FLOW'!AM35</f>
        <v>125419248.94464001</v>
      </c>
      <c r="AM6" s="141">
        <f>'CASH FLOW'!AN35</f>
        <v>143595951.69024003</v>
      </c>
      <c r="AN6" s="141">
        <f>'CASH FLOW'!AO35</f>
        <v>165407994.98495999</v>
      </c>
    </row>
    <row r="7" spans="1:40" ht="17.25" x14ac:dyDescent="0.3">
      <c r="A7" s="139" t="str">
        <f>'P&amp;L'!A47</f>
        <v>НАЛОГ НА ДОХОД 4%</v>
      </c>
      <c r="B7" s="140">
        <f t="shared" si="0"/>
        <v>59472000</v>
      </c>
      <c r="C7" s="142">
        <f>'CASH FLOW'!D36</f>
        <v>0</v>
      </c>
      <c r="D7" s="142">
        <f>'CASH FLOW'!E36</f>
        <v>0</v>
      </c>
      <c r="E7" s="142">
        <f>'CASH FLOW'!F36</f>
        <v>0</v>
      </c>
      <c r="F7" s="142">
        <f>'CASH FLOW'!G36</f>
        <v>0</v>
      </c>
      <c r="G7" s="142">
        <f>'CASH FLOW'!H36</f>
        <v>2016000</v>
      </c>
      <c r="H7" s="142">
        <f>'CASH FLOW'!I36</f>
        <v>5039999.9999999991</v>
      </c>
      <c r="I7" s="142">
        <f>'CASH FLOW'!J36</f>
        <v>7055999.9999999991</v>
      </c>
      <c r="J7" s="142">
        <f>'CASH FLOW'!K36</f>
        <v>8064000</v>
      </c>
      <c r="K7" s="142">
        <f>'CASH FLOW'!L36</f>
        <v>7055999.9999999991</v>
      </c>
      <c r="L7" s="142">
        <f>'CASH FLOW'!M36</f>
        <v>10079999.999999998</v>
      </c>
      <c r="M7" s="142">
        <f>'CASH FLOW'!N36</f>
        <v>10079999.999999998</v>
      </c>
      <c r="N7" s="142">
        <f>'CASH FLOW'!O36</f>
        <v>10079999.999999998</v>
      </c>
      <c r="O7" s="140">
        <f t="shared" si="1"/>
        <v>182448000</v>
      </c>
      <c r="P7" s="142">
        <f>'CASH FLOW'!Q36</f>
        <v>10079999.999999998</v>
      </c>
      <c r="Q7" s="142">
        <f>'CASH FLOW'!R36</f>
        <v>12096000</v>
      </c>
      <c r="R7" s="142">
        <f>'CASH FLOW'!S36</f>
        <v>15119999.999999998</v>
      </c>
      <c r="S7" s="142">
        <f>'CASH FLOW'!T36</f>
        <v>15119999.999999998</v>
      </c>
      <c r="T7" s="142">
        <f>'CASH FLOW'!U36</f>
        <v>15119999.999999998</v>
      </c>
      <c r="U7" s="142">
        <f>'CASH FLOW'!V36</f>
        <v>15119999.999999998</v>
      </c>
      <c r="V7" s="142">
        <f>'CASH FLOW'!W36</f>
        <v>13103999.999999998</v>
      </c>
      <c r="W7" s="142">
        <f>'CASH FLOW'!X36</f>
        <v>12096000</v>
      </c>
      <c r="X7" s="142">
        <f>'CASH FLOW'!Y36</f>
        <v>15119999.999999998</v>
      </c>
      <c r="Y7" s="142">
        <f>'CASH FLOW'!Z36</f>
        <v>17135999.999999996</v>
      </c>
      <c r="Z7" s="142">
        <f>'CASH FLOW'!AA36</f>
        <v>20159999.999999996</v>
      </c>
      <c r="AA7" s="142">
        <f>'CASH FLOW'!AB36</f>
        <v>22176000</v>
      </c>
      <c r="AB7" s="140">
        <f t="shared" si="2"/>
        <v>589680000</v>
      </c>
      <c r="AC7" s="142">
        <f>'CASH FLOW'!AD36</f>
        <v>25199999.999999996</v>
      </c>
      <c r="AD7" s="142">
        <f>'CASH FLOW'!AE36</f>
        <v>25199999.999999996</v>
      </c>
      <c r="AE7" s="142">
        <f>'CASH FLOW'!AF36</f>
        <v>27216000</v>
      </c>
      <c r="AF7" s="142">
        <f>'CASH FLOW'!AG36</f>
        <v>32256000</v>
      </c>
      <c r="AG7" s="142">
        <f>'CASH FLOW'!AH36</f>
        <v>35279999.999999993</v>
      </c>
      <c r="AH7" s="142">
        <f>'CASH FLOW'!AI36</f>
        <v>39312000</v>
      </c>
      <c r="AI7" s="142">
        <f>'CASH FLOW'!AJ36</f>
        <v>47375999.999999993</v>
      </c>
      <c r="AJ7" s="142">
        <f>'CASH FLOW'!AK36</f>
        <v>54432000</v>
      </c>
      <c r="AK7" s="142">
        <f>'CASH FLOW'!AL36</f>
        <v>62495999.999999985</v>
      </c>
      <c r="AL7" s="142">
        <f>'CASH FLOW'!AM36</f>
        <v>69552000</v>
      </c>
      <c r="AM7" s="142">
        <f>'CASH FLOW'!AN36</f>
        <v>79631999.999999985</v>
      </c>
      <c r="AN7" s="142">
        <f>'CASH FLOW'!AO36</f>
        <v>91727999.999999985</v>
      </c>
    </row>
    <row r="8" spans="1:40" ht="17.25" x14ac:dyDescent="0.3">
      <c r="A8" s="102" t="s">
        <v>173</v>
      </c>
      <c r="B8" s="96">
        <f t="shared" si="0"/>
        <v>166714546.19904</v>
      </c>
      <c r="C8" s="100">
        <f t="shared" ref="C8:N8" si="3">SUM(C6:C7)</f>
        <v>0</v>
      </c>
      <c r="D8" s="100">
        <f t="shared" si="3"/>
        <v>0</v>
      </c>
      <c r="E8" s="100">
        <f t="shared" si="3"/>
        <v>0</v>
      </c>
      <c r="F8" s="100">
        <f t="shared" si="3"/>
        <v>0</v>
      </c>
      <c r="G8" s="100">
        <f t="shared" si="3"/>
        <v>5651340.5491200006</v>
      </c>
      <c r="H8" s="100">
        <f t="shared" si="3"/>
        <v>14128351.3728</v>
      </c>
      <c r="I8" s="100">
        <f t="shared" si="3"/>
        <v>19779691.921919998</v>
      </c>
      <c r="J8" s="100">
        <f t="shared" si="3"/>
        <v>22605362.196480002</v>
      </c>
      <c r="K8" s="100">
        <f t="shared" si="3"/>
        <v>19779691.921919998</v>
      </c>
      <c r="L8" s="100">
        <f t="shared" si="3"/>
        <v>28256702.7456</v>
      </c>
      <c r="M8" s="100">
        <f t="shared" si="3"/>
        <v>28256702.7456</v>
      </c>
      <c r="N8" s="100">
        <f t="shared" si="3"/>
        <v>28256702.7456</v>
      </c>
      <c r="O8" s="96">
        <f t="shared" si="1"/>
        <v>511446319.69535989</v>
      </c>
      <c r="P8" s="100">
        <f t="shared" ref="P8:AA8" si="4">SUM(P6:P7)</f>
        <v>28256702.7456</v>
      </c>
      <c r="Q8" s="100">
        <f t="shared" si="4"/>
        <v>33908043.294720002</v>
      </c>
      <c r="R8" s="100">
        <f t="shared" si="4"/>
        <v>42385054.118399993</v>
      </c>
      <c r="S8" s="100">
        <f t="shared" si="4"/>
        <v>42385054.118399993</v>
      </c>
      <c r="T8" s="100">
        <f t="shared" si="4"/>
        <v>42385054.118399993</v>
      </c>
      <c r="U8" s="100">
        <f t="shared" si="4"/>
        <v>42385054.118399993</v>
      </c>
      <c r="V8" s="100">
        <f t="shared" si="4"/>
        <v>36733713.569279999</v>
      </c>
      <c r="W8" s="100">
        <f t="shared" si="4"/>
        <v>33908043.294720002</v>
      </c>
      <c r="X8" s="100">
        <f t="shared" si="4"/>
        <v>42385054.118399993</v>
      </c>
      <c r="Y8" s="100">
        <f t="shared" si="4"/>
        <v>48036394.667519994</v>
      </c>
      <c r="Z8" s="100">
        <f t="shared" si="4"/>
        <v>56513405.4912</v>
      </c>
      <c r="AA8" s="100">
        <f t="shared" si="4"/>
        <v>62164746.040320002</v>
      </c>
      <c r="AB8" s="96">
        <f t="shared" si="2"/>
        <v>1653017110.6176</v>
      </c>
      <c r="AC8" s="100">
        <f t="shared" ref="AC8:AN8" si="5">SUM(AC6:AC7)</f>
        <v>70641756.863999993</v>
      </c>
      <c r="AD8" s="100">
        <f t="shared" si="5"/>
        <v>70641756.863999993</v>
      </c>
      <c r="AE8" s="100">
        <f t="shared" si="5"/>
        <v>76293097.413120002</v>
      </c>
      <c r="AF8" s="100">
        <f t="shared" si="5"/>
        <v>90421448.785920009</v>
      </c>
      <c r="AG8" s="100">
        <f t="shared" si="5"/>
        <v>98898459.609599978</v>
      </c>
      <c r="AH8" s="100">
        <f t="shared" si="5"/>
        <v>110201140.70784001</v>
      </c>
      <c r="AI8" s="100">
        <f t="shared" si="5"/>
        <v>132806502.90431997</v>
      </c>
      <c r="AJ8" s="100">
        <f t="shared" si="5"/>
        <v>152586194.82624</v>
      </c>
      <c r="AK8" s="100">
        <f t="shared" si="5"/>
        <v>175191557.02271998</v>
      </c>
      <c r="AL8" s="100">
        <f t="shared" si="5"/>
        <v>194971248.94464001</v>
      </c>
      <c r="AM8" s="100">
        <f t="shared" si="5"/>
        <v>223227951.69024003</v>
      </c>
      <c r="AN8" s="100">
        <f t="shared" si="5"/>
        <v>257135994.98495996</v>
      </c>
    </row>
    <row r="9" spans="1:40" ht="17.25" x14ac:dyDescent="0.3">
      <c r="A9" s="143" t="s">
        <v>174</v>
      </c>
      <c r="B9" s="144">
        <f>B8/'P&amp;L'!$C$8*100%</f>
        <v>0.1121297728</v>
      </c>
      <c r="C9" s="145" t="e">
        <f>C8/'P&amp;L'!D7*100%</f>
        <v>#DIV/0!</v>
      </c>
      <c r="D9" s="145" t="e">
        <f>D8/'P&amp;L'!E7*100%</f>
        <v>#DIV/0!</v>
      </c>
      <c r="E9" s="145" t="e">
        <f>E8/'P&amp;L'!F7*100%</f>
        <v>#DIV/0!</v>
      </c>
      <c r="F9" s="145" t="e">
        <f>F8/'P&amp;L'!G7*100%</f>
        <v>#DIV/0!</v>
      </c>
      <c r="G9" s="145">
        <f>G8/'P&amp;L'!H7*100%</f>
        <v>0.11212977280000001</v>
      </c>
      <c r="H9" s="145">
        <f>H8/'P&amp;L'!I7*100%</f>
        <v>0.11212977280000001</v>
      </c>
      <c r="I9" s="145">
        <f>I8/'P&amp;L'!J7*100%</f>
        <v>0.11212977280000001</v>
      </c>
      <c r="J9" s="145">
        <f>J8/'P&amp;L'!K7*100%</f>
        <v>0.11212977280000001</v>
      </c>
      <c r="K9" s="145">
        <f>K8/'P&amp;L'!L7*100%</f>
        <v>0.11212977280000001</v>
      </c>
      <c r="L9" s="145">
        <f>L8/'P&amp;L'!M7*100%</f>
        <v>0.11212977280000001</v>
      </c>
      <c r="M9" s="145">
        <f>M8/'P&amp;L'!N7*100%</f>
        <v>0.11212977280000001</v>
      </c>
      <c r="N9" s="145">
        <f>N8/'P&amp;L'!O7*100%</f>
        <v>0.11212977280000001</v>
      </c>
      <c r="O9" s="144">
        <f>O8/'P&amp;L'!P8*100%</f>
        <v>0.11212977279999997</v>
      </c>
      <c r="P9" s="145">
        <f>P8/'P&amp;L'!Q8*100%</f>
        <v>0.11212977280000001</v>
      </c>
      <c r="Q9" s="145">
        <f>Q8/'P&amp;L'!R8*100%</f>
        <v>0.1121297728</v>
      </c>
      <c r="R9" s="145">
        <f>R8/'P&amp;L'!S8*100%</f>
        <v>0.1121297728</v>
      </c>
      <c r="S9" s="145">
        <f>S8/'P&amp;L'!T8*100%</f>
        <v>0.1121297728</v>
      </c>
      <c r="T9" s="145">
        <f>T8/'P&amp;L'!U8*100%</f>
        <v>0.1121297728</v>
      </c>
      <c r="U9" s="145">
        <f>U8/'P&amp;L'!V8*100%</f>
        <v>0.1121297728</v>
      </c>
      <c r="V9" s="145">
        <f>V8/'P&amp;L'!W8*100%</f>
        <v>0.11212977280000001</v>
      </c>
      <c r="W9" s="145">
        <f>W8/'P&amp;L'!X8*100%</f>
        <v>0.1121297728</v>
      </c>
      <c r="X9" s="145">
        <f>X8/'P&amp;L'!Y8*100%</f>
        <v>0.1121297728</v>
      </c>
      <c r="Y9" s="145">
        <f>Y8/'P&amp;L'!Z8*100%</f>
        <v>0.1121297728</v>
      </c>
      <c r="Z9" s="145">
        <f>Z8/'P&amp;L'!AA8*100%</f>
        <v>0.11212977280000001</v>
      </c>
      <c r="AA9" s="145">
        <f>AA8/'P&amp;L'!AB8*100%</f>
        <v>0.1121297728</v>
      </c>
      <c r="AB9" s="144">
        <f>AB8/'P&amp;L'!AC8*100%</f>
        <v>0.1121297728</v>
      </c>
      <c r="AC9" s="145">
        <f>AC8/'P&amp;L'!AD8*100%</f>
        <v>0.11212977280000001</v>
      </c>
      <c r="AD9" s="145">
        <f>AD8/'P&amp;L'!AE8*100%</f>
        <v>0.11212977280000001</v>
      </c>
      <c r="AE9" s="145">
        <f>AE8/'P&amp;L'!AF8*100%</f>
        <v>0.1121297728</v>
      </c>
      <c r="AF9" s="145">
        <f>AF8/'P&amp;L'!AG8*100%</f>
        <v>0.11212977280000001</v>
      </c>
      <c r="AG9" s="145">
        <f>AG8/'P&amp;L'!AH8*100%</f>
        <v>0.11212977279999999</v>
      </c>
      <c r="AH9" s="145">
        <f>AH8/'P&amp;L'!AI8*100%</f>
        <v>0.11212977280000001</v>
      </c>
      <c r="AI9" s="145">
        <f>AI8/'P&amp;L'!AJ8*100%</f>
        <v>0.1121297728</v>
      </c>
      <c r="AJ9" s="145">
        <f>AJ8/'P&amp;L'!AK8*100%</f>
        <v>0.1121297728</v>
      </c>
      <c r="AK9" s="145">
        <f>AK8/'P&amp;L'!AL8*100%</f>
        <v>0.11212977280000003</v>
      </c>
      <c r="AL9" s="145">
        <f>AL8/'P&amp;L'!AM8*100%</f>
        <v>0.1121297728</v>
      </c>
      <c r="AM9" s="145">
        <f>AM8/'P&amp;L'!AN8*100%</f>
        <v>0.11212977280000003</v>
      </c>
      <c r="AN9" s="145">
        <f>AN8/'P&amp;L'!AO8*100%</f>
        <v>0.1121297728</v>
      </c>
    </row>
    <row r="10" spans="1:40" ht="17.25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7.25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7.25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7.25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7.25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7.25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7.25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7.25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7.25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7.25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7.25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7.25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7.25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7.25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7.25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7.25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7.25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7.25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7.25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7.25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7.25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17.25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7.25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17.25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7.25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ht="17.25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17.25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7.25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17.25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7.25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ht="17.25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17.25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17.25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7.25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17.25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17.25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7.25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17.25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17.25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17.25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17.25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17.25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ht="17.25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17.25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17.25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ht="17.25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17.25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ht="17.25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ht="17.25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ht="17.25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ht="17.25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ht="17.25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ht="17.25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ht="17.25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ht="17.25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ht="17.25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ht="17.25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ht="17.25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ht="17.25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ht="17.25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ht="17.25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ht="17.25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ht="17.25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ht="17.25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ht="17.25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ht="17.25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ht="17.25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ht="17.25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ht="17.25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ht="17.25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ht="17.25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ht="17.25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ht="17.25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ht="17.25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ht="17.25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ht="17.25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ht="17.25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ht="17.25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ht="17.25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ht="17.25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ht="17.25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ht="17.25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ht="17.25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ht="17.25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ht="17.25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ht="17.25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ht="17.25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ht="17.25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ht="17.25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ht="17.25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ht="17.25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ht="17.25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ht="17.25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ht="17.25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ht="17.25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ht="17.25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ht="17.25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ht="17.25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ht="17.25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ht="17.25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ht="17.25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ht="17.25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ht="17.25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ht="17.25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ht="17.25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ht="17.25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ht="17.25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ht="17.25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ht="17.25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ht="17.25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ht="17.25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ht="17.25" x14ac:dyDescent="0.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ht="17.25" x14ac:dyDescent="0.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ht="17.25" x14ac:dyDescent="0.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ht="17.25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ht="17.25" x14ac:dyDescent="0.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ht="17.25" x14ac:dyDescent="0.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ht="17.25" x14ac:dyDescent="0.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ht="17.25" x14ac:dyDescent="0.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ht="17.25" x14ac:dyDescent="0.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ht="17.25" x14ac:dyDescent="0.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ht="17.25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ht="17.25" x14ac:dyDescent="0.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ht="17.25" x14ac:dyDescent="0.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ht="17.25" x14ac:dyDescent="0.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ht="17.25" x14ac:dyDescent="0.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ht="17.25" x14ac:dyDescent="0.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ht="17.25" x14ac:dyDescent="0.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ht="17.25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ht="17.25" x14ac:dyDescent="0.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ht="17.25" x14ac:dyDescent="0.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ht="17.25" x14ac:dyDescent="0.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ht="17.25" x14ac:dyDescent="0.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ht="17.25" x14ac:dyDescent="0.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ht="17.25" x14ac:dyDescent="0.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ht="17.25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ht="17.25" x14ac:dyDescent="0.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ht="17.25" x14ac:dyDescent="0.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ht="17.25" x14ac:dyDescent="0.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ht="17.25" x14ac:dyDescent="0.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ht="17.25" x14ac:dyDescent="0.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ht="17.25" x14ac:dyDescent="0.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ht="17.25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ht="17.25" x14ac:dyDescent="0.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ht="17.25" x14ac:dyDescent="0.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ht="17.25" x14ac:dyDescent="0.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ht="17.25" x14ac:dyDescent="0.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1:40" ht="17.25" x14ac:dyDescent="0.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1:40" ht="17.25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1:40" ht="17.25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1:40" ht="17.25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1:40" ht="17.25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1:40" ht="17.25" x14ac:dyDescent="0.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1:40" ht="17.25" x14ac:dyDescent="0.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ht="17.25" x14ac:dyDescent="0.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ht="17.25" x14ac:dyDescent="0.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ht="17.25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ht="17.25" x14ac:dyDescent="0.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ht="17.25" x14ac:dyDescent="0.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ht="17.25" x14ac:dyDescent="0.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ht="17.25" x14ac:dyDescent="0.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1:40" ht="17.25" x14ac:dyDescent="0.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1:40" ht="17.25" x14ac:dyDescent="0.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1:40" ht="17.25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1:40" ht="17.25" x14ac:dyDescent="0.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1:40" ht="17.25" x14ac:dyDescent="0.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1:40" ht="17.25" x14ac:dyDescent="0.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1:40" ht="17.25" x14ac:dyDescent="0.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ht="17.25" x14ac:dyDescent="0.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ht="17.25" x14ac:dyDescent="0.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ht="17.25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ht="17.25" x14ac:dyDescent="0.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ht="17.25" x14ac:dyDescent="0.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1:40" ht="17.25" x14ac:dyDescent="0.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1:40" ht="17.25" x14ac:dyDescent="0.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1:40" ht="17.25" x14ac:dyDescent="0.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1:40" ht="17.25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1:40" ht="17.25" x14ac:dyDescent="0.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1:40" ht="17.25" x14ac:dyDescent="0.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1:40" ht="17.25" x14ac:dyDescent="0.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1:40" ht="17.25" x14ac:dyDescent="0.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1:40" ht="17.25" x14ac:dyDescent="0.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1:40" ht="17.25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1:40" ht="17.25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40" ht="17.25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1:40" ht="17.25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1:40" ht="17.25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1:40" ht="17.25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1:40" ht="17.25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1:40" ht="17.25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1:40" ht="17.25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1:40" ht="17.25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1:40" ht="17.25" x14ac:dyDescent="0.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1:40" ht="17.25" x14ac:dyDescent="0.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1:40" ht="17.25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1:40" ht="17.25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1:40" ht="17.25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1:40" ht="17.25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1:40" ht="17.25" x14ac:dyDescent="0.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1:40" ht="17.25" x14ac:dyDescent="0.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1:40" ht="17.25" x14ac:dyDescent="0.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1:40" ht="17.25" x14ac:dyDescent="0.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1:40" ht="17.25" x14ac:dyDescent="0.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1:40" ht="17.25" x14ac:dyDescent="0.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1:40" ht="17.25" x14ac:dyDescent="0.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1:40" ht="17.25" x14ac:dyDescent="0.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1:40" ht="17.25" x14ac:dyDescent="0.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1:40" ht="17.25" x14ac:dyDescent="0.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1:40" ht="17.25" x14ac:dyDescent="0.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1:40" ht="17.25" x14ac:dyDescent="0.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1:40" ht="17.25" x14ac:dyDescent="0.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1:40" ht="17.25" x14ac:dyDescent="0.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1:40" ht="17.25" x14ac:dyDescent="0.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1:40" ht="17.25" x14ac:dyDescent="0.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1:40" ht="17.25" x14ac:dyDescent="0.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1:40" ht="17.25" x14ac:dyDescent="0.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1:40" ht="17.25" x14ac:dyDescent="0.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1:40" ht="17.25" x14ac:dyDescent="0.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1:40" ht="17.25" x14ac:dyDescent="0.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1:40" ht="17.25" x14ac:dyDescent="0.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1:40" ht="17.25" x14ac:dyDescent="0.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1:40" ht="17.25" x14ac:dyDescent="0.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1:40" ht="17.25" x14ac:dyDescent="0.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1:40" ht="17.25" x14ac:dyDescent="0.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1:40" ht="17.25" x14ac:dyDescent="0.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1:40" ht="17.25" x14ac:dyDescent="0.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1:40" ht="17.25" x14ac:dyDescent="0.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1:40" ht="17.25" x14ac:dyDescent="0.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1:40" ht="17.25" x14ac:dyDescent="0.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1:40" ht="17.25" x14ac:dyDescent="0.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1:40" ht="17.25" x14ac:dyDescent="0.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1:40" ht="17.25" x14ac:dyDescent="0.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1:40" ht="17.25" x14ac:dyDescent="0.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1:40" ht="17.25" x14ac:dyDescent="0.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1:40" ht="17.25" x14ac:dyDescent="0.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1:40" ht="17.25" x14ac:dyDescent="0.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1:40" ht="17.25" x14ac:dyDescent="0.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1:40" ht="17.25" x14ac:dyDescent="0.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1:40" ht="17.25" x14ac:dyDescent="0.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1:40" ht="17.25" x14ac:dyDescent="0.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1:40" ht="17.25" x14ac:dyDescent="0.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1:40" ht="17.25" x14ac:dyDescent="0.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1:40" ht="17.25" x14ac:dyDescent="0.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1:40" ht="17.25" x14ac:dyDescent="0.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1:40" ht="17.25" x14ac:dyDescent="0.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1:40" ht="17.25" x14ac:dyDescent="0.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1:40" ht="17.25" x14ac:dyDescent="0.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1:40" ht="17.25" x14ac:dyDescent="0.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1:40" ht="17.25" x14ac:dyDescent="0.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1:40" ht="17.25" x14ac:dyDescent="0.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1:40" ht="17.25" x14ac:dyDescent="0.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  <row r="278" spans="1:40" ht="17.25" x14ac:dyDescent="0.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1:40" ht="17.25" x14ac:dyDescent="0.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</row>
    <row r="280" spans="1:40" ht="17.25" x14ac:dyDescent="0.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</row>
    <row r="281" spans="1:40" ht="17.25" x14ac:dyDescent="0.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</row>
    <row r="282" spans="1:40" ht="17.25" x14ac:dyDescent="0.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</row>
    <row r="283" spans="1:40" ht="17.25" x14ac:dyDescent="0.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</row>
    <row r="284" spans="1:40" ht="17.25" x14ac:dyDescent="0.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</row>
    <row r="285" spans="1:40" ht="17.25" x14ac:dyDescent="0.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</row>
    <row r="286" spans="1:40" ht="17.25" x14ac:dyDescent="0.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</row>
    <row r="287" spans="1:40" ht="17.25" x14ac:dyDescent="0.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</row>
    <row r="288" spans="1:40" ht="17.25" x14ac:dyDescent="0.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</row>
    <row r="289" spans="1:40" ht="17.25" x14ac:dyDescent="0.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</row>
    <row r="290" spans="1:40" ht="17.25" x14ac:dyDescent="0.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</row>
    <row r="291" spans="1:40" ht="17.25" x14ac:dyDescent="0.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</row>
    <row r="292" spans="1:40" ht="17.25" x14ac:dyDescent="0.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</row>
    <row r="293" spans="1:40" ht="17.25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</row>
    <row r="294" spans="1:40" ht="17.25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</row>
    <row r="295" spans="1:40" ht="17.25" x14ac:dyDescent="0.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</row>
    <row r="296" spans="1:40" ht="17.25" x14ac:dyDescent="0.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</row>
    <row r="297" spans="1:40" ht="17.25" x14ac:dyDescent="0.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</row>
    <row r="298" spans="1:40" ht="17.25" x14ac:dyDescent="0.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</row>
    <row r="299" spans="1:40" ht="17.25" x14ac:dyDescent="0.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</row>
    <row r="300" spans="1:40" ht="17.25" x14ac:dyDescent="0.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</row>
    <row r="301" spans="1:40" ht="17.25" x14ac:dyDescent="0.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</row>
    <row r="302" spans="1:40" ht="17.25" x14ac:dyDescent="0.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</row>
    <row r="303" spans="1:40" ht="17.25" x14ac:dyDescent="0.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</row>
    <row r="304" spans="1:40" ht="17.25" x14ac:dyDescent="0.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</row>
    <row r="305" spans="1:40" ht="17.25" x14ac:dyDescent="0.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</row>
    <row r="306" spans="1:40" ht="17.25" x14ac:dyDescent="0.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</row>
    <row r="307" spans="1:40" ht="17.25" x14ac:dyDescent="0.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</row>
    <row r="308" spans="1:40" ht="17.25" x14ac:dyDescent="0.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</row>
    <row r="309" spans="1:40" ht="17.25" x14ac:dyDescent="0.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</row>
    <row r="310" spans="1:40" ht="17.25" x14ac:dyDescent="0.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</row>
    <row r="311" spans="1:40" ht="17.25" x14ac:dyDescent="0.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</row>
    <row r="312" spans="1:40" ht="17.25" x14ac:dyDescent="0.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</row>
    <row r="313" spans="1:40" ht="17.25" x14ac:dyDescent="0.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</row>
    <row r="314" spans="1:40" ht="17.25" x14ac:dyDescent="0.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</row>
    <row r="315" spans="1:40" ht="17.25" x14ac:dyDescent="0.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</row>
    <row r="316" spans="1:40" ht="17.25" x14ac:dyDescent="0.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</row>
    <row r="317" spans="1:40" ht="17.25" x14ac:dyDescent="0.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</row>
    <row r="318" spans="1:40" ht="17.25" x14ac:dyDescent="0.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</row>
    <row r="319" spans="1:40" ht="17.25" x14ac:dyDescent="0.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</row>
    <row r="320" spans="1:40" ht="17.25" x14ac:dyDescent="0.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</row>
    <row r="321" spans="1:40" ht="17.25" x14ac:dyDescent="0.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</row>
    <row r="322" spans="1:40" ht="17.25" x14ac:dyDescent="0.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</row>
    <row r="323" spans="1:40" ht="17.25" x14ac:dyDescent="0.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</row>
    <row r="324" spans="1:40" ht="17.25" x14ac:dyDescent="0.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</row>
    <row r="325" spans="1:40" ht="17.25" x14ac:dyDescent="0.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</row>
    <row r="326" spans="1:40" ht="17.25" x14ac:dyDescent="0.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</row>
    <row r="327" spans="1:40" ht="17.25" x14ac:dyDescent="0.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</row>
    <row r="328" spans="1:40" ht="17.25" x14ac:dyDescent="0.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</row>
    <row r="329" spans="1:40" ht="17.25" x14ac:dyDescent="0.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</row>
    <row r="330" spans="1:40" ht="17.25" x14ac:dyDescent="0.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</row>
    <row r="331" spans="1:40" ht="17.25" x14ac:dyDescent="0.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</row>
    <row r="332" spans="1:40" ht="17.25" x14ac:dyDescent="0.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</row>
    <row r="333" spans="1:40" ht="17.25" x14ac:dyDescent="0.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</row>
    <row r="334" spans="1:40" ht="17.25" x14ac:dyDescent="0.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</row>
    <row r="335" spans="1:40" ht="17.25" x14ac:dyDescent="0.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</row>
    <row r="336" spans="1:40" ht="17.25" x14ac:dyDescent="0.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</row>
    <row r="337" spans="1:40" ht="17.25" x14ac:dyDescent="0.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</row>
    <row r="338" spans="1:40" ht="17.25" x14ac:dyDescent="0.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</row>
    <row r="339" spans="1:40" ht="17.25" x14ac:dyDescent="0.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</row>
    <row r="340" spans="1:40" ht="17.25" x14ac:dyDescent="0.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</row>
    <row r="341" spans="1:40" ht="17.25" x14ac:dyDescent="0.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</row>
    <row r="342" spans="1:40" ht="17.25" x14ac:dyDescent="0.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</row>
    <row r="343" spans="1:40" ht="17.25" x14ac:dyDescent="0.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</row>
    <row r="344" spans="1:40" ht="17.25" x14ac:dyDescent="0.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</row>
    <row r="345" spans="1:40" ht="17.25" x14ac:dyDescent="0.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</row>
    <row r="346" spans="1:40" ht="17.25" x14ac:dyDescent="0.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</row>
    <row r="347" spans="1:40" ht="17.25" x14ac:dyDescent="0.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</row>
    <row r="348" spans="1:40" ht="17.25" x14ac:dyDescent="0.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</row>
    <row r="349" spans="1:40" ht="17.25" x14ac:dyDescent="0.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</row>
    <row r="350" spans="1:40" ht="17.25" x14ac:dyDescent="0.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</row>
    <row r="351" spans="1:40" ht="17.25" x14ac:dyDescent="0.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</row>
    <row r="352" spans="1:40" ht="17.25" x14ac:dyDescent="0.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</row>
    <row r="353" spans="1:40" ht="17.25" x14ac:dyDescent="0.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</row>
    <row r="354" spans="1:40" ht="17.25" x14ac:dyDescent="0.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</row>
    <row r="355" spans="1:40" ht="17.25" x14ac:dyDescent="0.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</row>
    <row r="356" spans="1:40" ht="17.25" x14ac:dyDescent="0.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</row>
    <row r="357" spans="1:40" ht="17.25" x14ac:dyDescent="0.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</row>
    <row r="358" spans="1:40" ht="17.25" x14ac:dyDescent="0.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</row>
    <row r="359" spans="1:40" ht="17.25" x14ac:dyDescent="0.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</row>
    <row r="360" spans="1:40" ht="17.25" x14ac:dyDescent="0.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</row>
    <row r="361" spans="1:40" ht="17.25" x14ac:dyDescent="0.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</row>
    <row r="362" spans="1:40" ht="17.25" x14ac:dyDescent="0.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</row>
    <row r="363" spans="1:40" ht="17.25" x14ac:dyDescent="0.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</row>
    <row r="364" spans="1:40" ht="17.25" x14ac:dyDescent="0.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</row>
    <row r="365" spans="1:40" ht="17.25" x14ac:dyDescent="0.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</row>
    <row r="366" spans="1:40" ht="17.25" x14ac:dyDescent="0.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</row>
    <row r="367" spans="1:40" ht="17.25" x14ac:dyDescent="0.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</row>
    <row r="368" spans="1:40" ht="17.25" x14ac:dyDescent="0.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</row>
    <row r="369" spans="1:40" ht="17.25" x14ac:dyDescent="0.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</row>
    <row r="370" spans="1:40" ht="17.25" x14ac:dyDescent="0.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</row>
    <row r="371" spans="1:40" ht="17.25" x14ac:dyDescent="0.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</row>
    <row r="372" spans="1:40" ht="17.25" x14ac:dyDescent="0.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</row>
    <row r="373" spans="1:40" ht="17.25" x14ac:dyDescent="0.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</row>
    <row r="374" spans="1:40" ht="17.25" x14ac:dyDescent="0.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</row>
    <row r="375" spans="1:40" ht="17.25" x14ac:dyDescent="0.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</row>
    <row r="376" spans="1:40" ht="17.25" x14ac:dyDescent="0.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</row>
    <row r="377" spans="1:40" ht="17.25" x14ac:dyDescent="0.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</row>
    <row r="378" spans="1:40" ht="17.25" x14ac:dyDescent="0.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</row>
    <row r="379" spans="1:40" ht="17.25" x14ac:dyDescent="0.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</row>
    <row r="380" spans="1:40" ht="17.25" x14ac:dyDescent="0.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</row>
    <row r="381" spans="1:40" ht="17.25" x14ac:dyDescent="0.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</row>
    <row r="382" spans="1:40" ht="17.25" x14ac:dyDescent="0.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</row>
    <row r="383" spans="1:40" ht="17.25" x14ac:dyDescent="0.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</row>
    <row r="384" spans="1:40" ht="17.25" x14ac:dyDescent="0.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</row>
    <row r="385" spans="1:40" ht="17.25" x14ac:dyDescent="0.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</row>
    <row r="386" spans="1:40" ht="17.25" x14ac:dyDescent="0.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</row>
    <row r="387" spans="1:40" ht="17.25" x14ac:dyDescent="0.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</row>
    <row r="388" spans="1:40" ht="17.25" x14ac:dyDescent="0.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</row>
    <row r="389" spans="1:40" ht="17.25" x14ac:dyDescent="0.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</row>
    <row r="390" spans="1:40" ht="17.25" x14ac:dyDescent="0.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</row>
    <row r="391" spans="1:40" ht="17.25" x14ac:dyDescent="0.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</row>
    <row r="392" spans="1:40" ht="17.25" x14ac:dyDescent="0.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</row>
    <row r="393" spans="1:40" ht="17.25" x14ac:dyDescent="0.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</row>
    <row r="394" spans="1:40" ht="17.25" x14ac:dyDescent="0.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</row>
    <row r="395" spans="1:40" ht="17.25" x14ac:dyDescent="0.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</row>
    <row r="396" spans="1:40" ht="17.25" x14ac:dyDescent="0.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</row>
    <row r="397" spans="1:40" ht="17.25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</row>
    <row r="398" spans="1:40" ht="17.25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</row>
    <row r="399" spans="1:40" ht="17.25" x14ac:dyDescent="0.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</row>
    <row r="400" spans="1:40" ht="17.25" x14ac:dyDescent="0.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</row>
    <row r="401" spans="1:40" ht="17.25" x14ac:dyDescent="0.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</row>
    <row r="402" spans="1:40" ht="17.25" x14ac:dyDescent="0.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</row>
    <row r="403" spans="1:40" ht="17.25" x14ac:dyDescent="0.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</row>
    <row r="404" spans="1:40" ht="17.25" x14ac:dyDescent="0.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</row>
    <row r="405" spans="1:40" ht="17.25" x14ac:dyDescent="0.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</row>
    <row r="406" spans="1:40" ht="17.25" x14ac:dyDescent="0.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</row>
    <row r="407" spans="1:40" ht="17.25" x14ac:dyDescent="0.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</row>
    <row r="408" spans="1:40" ht="17.25" x14ac:dyDescent="0.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</row>
    <row r="409" spans="1:40" ht="17.25" x14ac:dyDescent="0.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</row>
    <row r="410" spans="1:40" ht="17.25" x14ac:dyDescent="0.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</row>
    <row r="411" spans="1:40" ht="17.25" x14ac:dyDescent="0.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</row>
    <row r="412" spans="1:40" ht="17.25" x14ac:dyDescent="0.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</row>
    <row r="413" spans="1:40" ht="17.25" x14ac:dyDescent="0.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</row>
    <row r="414" spans="1:40" ht="17.25" x14ac:dyDescent="0.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</row>
    <row r="415" spans="1:40" ht="17.25" x14ac:dyDescent="0.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</row>
    <row r="416" spans="1:40" ht="17.25" x14ac:dyDescent="0.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</row>
    <row r="417" spans="1:40" ht="17.25" x14ac:dyDescent="0.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</row>
    <row r="418" spans="1:40" ht="17.25" x14ac:dyDescent="0.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</row>
    <row r="419" spans="1:40" ht="17.25" x14ac:dyDescent="0.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</row>
    <row r="420" spans="1:40" ht="17.25" x14ac:dyDescent="0.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</row>
    <row r="421" spans="1:40" ht="17.25" x14ac:dyDescent="0.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</row>
    <row r="422" spans="1:40" ht="17.25" x14ac:dyDescent="0.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</row>
    <row r="423" spans="1:40" ht="17.25" x14ac:dyDescent="0.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</row>
    <row r="424" spans="1:40" ht="17.25" x14ac:dyDescent="0.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</row>
    <row r="425" spans="1:40" ht="17.25" x14ac:dyDescent="0.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</row>
    <row r="426" spans="1:40" ht="17.25" x14ac:dyDescent="0.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</row>
    <row r="427" spans="1:40" ht="17.25" x14ac:dyDescent="0.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</row>
    <row r="428" spans="1:40" ht="17.25" x14ac:dyDescent="0.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</row>
    <row r="429" spans="1:40" ht="17.25" x14ac:dyDescent="0.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</row>
    <row r="430" spans="1:40" ht="17.25" x14ac:dyDescent="0.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</row>
    <row r="431" spans="1:40" ht="17.25" x14ac:dyDescent="0.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</row>
    <row r="432" spans="1:40" ht="17.25" x14ac:dyDescent="0.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</row>
    <row r="433" spans="1:40" ht="17.25" x14ac:dyDescent="0.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</row>
    <row r="434" spans="1:40" ht="17.25" x14ac:dyDescent="0.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</row>
    <row r="435" spans="1:40" ht="17.25" x14ac:dyDescent="0.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</row>
    <row r="436" spans="1:40" ht="17.25" x14ac:dyDescent="0.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</row>
    <row r="437" spans="1:40" ht="17.25" x14ac:dyDescent="0.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</row>
    <row r="438" spans="1:40" ht="17.25" x14ac:dyDescent="0.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</row>
    <row r="439" spans="1:40" ht="17.25" x14ac:dyDescent="0.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</row>
    <row r="440" spans="1:40" ht="17.25" x14ac:dyDescent="0.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</row>
    <row r="441" spans="1:40" ht="17.25" x14ac:dyDescent="0.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</row>
    <row r="442" spans="1:40" ht="17.25" x14ac:dyDescent="0.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</row>
    <row r="443" spans="1:40" ht="17.25" x14ac:dyDescent="0.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</row>
    <row r="444" spans="1:40" ht="17.25" x14ac:dyDescent="0.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</row>
    <row r="445" spans="1:40" ht="17.25" x14ac:dyDescent="0.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</row>
    <row r="446" spans="1:40" ht="17.25" x14ac:dyDescent="0.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</row>
    <row r="447" spans="1:40" ht="17.25" x14ac:dyDescent="0.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</row>
    <row r="448" spans="1:40" ht="17.25" x14ac:dyDescent="0.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</row>
    <row r="449" spans="1:40" ht="17.25" x14ac:dyDescent="0.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</row>
    <row r="450" spans="1:40" ht="17.25" x14ac:dyDescent="0.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</row>
    <row r="451" spans="1:40" ht="17.25" x14ac:dyDescent="0.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</row>
    <row r="452" spans="1:40" ht="17.25" x14ac:dyDescent="0.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</row>
    <row r="453" spans="1:40" ht="17.25" x14ac:dyDescent="0.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</row>
    <row r="454" spans="1:40" ht="17.25" x14ac:dyDescent="0.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</row>
    <row r="455" spans="1:40" ht="17.25" x14ac:dyDescent="0.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</row>
    <row r="456" spans="1:40" ht="17.25" x14ac:dyDescent="0.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</row>
    <row r="457" spans="1:40" ht="17.25" x14ac:dyDescent="0.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</row>
    <row r="458" spans="1:40" ht="17.25" x14ac:dyDescent="0.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</row>
    <row r="459" spans="1:40" ht="17.25" x14ac:dyDescent="0.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</row>
    <row r="460" spans="1:40" ht="17.25" x14ac:dyDescent="0.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</row>
    <row r="461" spans="1:40" ht="17.25" x14ac:dyDescent="0.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</row>
    <row r="462" spans="1:40" ht="17.25" x14ac:dyDescent="0.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</row>
    <row r="463" spans="1:40" ht="17.25" x14ac:dyDescent="0.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</row>
    <row r="464" spans="1:40" ht="17.25" x14ac:dyDescent="0.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</row>
    <row r="465" spans="1:40" ht="17.25" x14ac:dyDescent="0.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</row>
    <row r="466" spans="1:40" ht="17.25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</row>
    <row r="467" spans="1:40" ht="17.25" x14ac:dyDescent="0.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</row>
    <row r="468" spans="1:40" ht="17.25" x14ac:dyDescent="0.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</row>
    <row r="469" spans="1:40" ht="17.25" x14ac:dyDescent="0.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</row>
    <row r="470" spans="1:40" ht="17.25" x14ac:dyDescent="0.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</row>
    <row r="471" spans="1:40" ht="17.25" x14ac:dyDescent="0.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</row>
    <row r="472" spans="1:40" ht="17.25" x14ac:dyDescent="0.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</row>
    <row r="473" spans="1:40" ht="17.25" x14ac:dyDescent="0.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</row>
    <row r="474" spans="1:40" ht="17.25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</row>
    <row r="475" spans="1:40" ht="17.25" x14ac:dyDescent="0.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</row>
    <row r="476" spans="1:40" ht="17.25" x14ac:dyDescent="0.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</row>
    <row r="477" spans="1:40" ht="17.25" x14ac:dyDescent="0.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</row>
    <row r="478" spans="1:40" ht="17.25" x14ac:dyDescent="0.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</row>
    <row r="479" spans="1:40" ht="17.25" x14ac:dyDescent="0.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</row>
    <row r="480" spans="1:40" ht="17.25" x14ac:dyDescent="0.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</row>
    <row r="481" spans="1:40" ht="17.25" x14ac:dyDescent="0.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</row>
    <row r="482" spans="1:40" ht="17.25" x14ac:dyDescent="0.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</row>
    <row r="483" spans="1:40" ht="17.25" x14ac:dyDescent="0.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</row>
    <row r="484" spans="1:40" ht="17.25" x14ac:dyDescent="0.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</row>
    <row r="485" spans="1:40" ht="17.25" x14ac:dyDescent="0.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</row>
    <row r="486" spans="1:40" ht="17.25" x14ac:dyDescent="0.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</row>
    <row r="487" spans="1:40" ht="17.25" x14ac:dyDescent="0.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</row>
    <row r="488" spans="1:40" ht="17.25" x14ac:dyDescent="0.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</row>
    <row r="489" spans="1:40" ht="17.25" x14ac:dyDescent="0.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</row>
    <row r="490" spans="1:40" ht="17.25" x14ac:dyDescent="0.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</row>
    <row r="491" spans="1:40" ht="17.25" x14ac:dyDescent="0.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</row>
    <row r="492" spans="1:40" ht="17.25" x14ac:dyDescent="0.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</row>
    <row r="493" spans="1:40" ht="17.25" x14ac:dyDescent="0.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</row>
    <row r="494" spans="1:40" ht="17.25" x14ac:dyDescent="0.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</row>
    <row r="495" spans="1:40" ht="17.25" x14ac:dyDescent="0.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</row>
    <row r="496" spans="1:40" ht="17.25" x14ac:dyDescent="0.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</row>
    <row r="497" spans="1:40" ht="17.25" x14ac:dyDescent="0.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</row>
    <row r="498" spans="1:40" ht="17.25" x14ac:dyDescent="0.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</row>
    <row r="499" spans="1:40" ht="17.25" x14ac:dyDescent="0.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</row>
    <row r="500" spans="1:40" ht="17.25" x14ac:dyDescent="0.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</row>
    <row r="501" spans="1:40" ht="17.25" x14ac:dyDescent="0.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</row>
    <row r="502" spans="1:40" ht="17.25" x14ac:dyDescent="0.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</row>
    <row r="503" spans="1:40" ht="17.25" x14ac:dyDescent="0.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</row>
    <row r="504" spans="1:40" ht="17.25" x14ac:dyDescent="0.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</row>
    <row r="505" spans="1:40" ht="17.25" x14ac:dyDescent="0.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</row>
    <row r="506" spans="1:40" ht="17.25" x14ac:dyDescent="0.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</row>
    <row r="507" spans="1:40" ht="17.25" x14ac:dyDescent="0.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</row>
    <row r="508" spans="1:40" ht="17.25" x14ac:dyDescent="0.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</row>
    <row r="509" spans="1:40" ht="17.25" x14ac:dyDescent="0.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</row>
    <row r="510" spans="1:40" ht="17.25" x14ac:dyDescent="0.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</row>
    <row r="511" spans="1:40" ht="17.25" x14ac:dyDescent="0.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</row>
    <row r="512" spans="1:40" ht="17.25" x14ac:dyDescent="0.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</row>
    <row r="513" spans="1:40" ht="17.25" x14ac:dyDescent="0.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</row>
    <row r="514" spans="1:40" ht="17.25" x14ac:dyDescent="0.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</row>
    <row r="515" spans="1:40" ht="17.25" x14ac:dyDescent="0.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</row>
    <row r="516" spans="1:40" ht="17.25" x14ac:dyDescent="0.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</row>
    <row r="517" spans="1:40" ht="17.25" x14ac:dyDescent="0.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</row>
    <row r="518" spans="1:40" ht="17.25" x14ac:dyDescent="0.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</row>
    <row r="519" spans="1:40" ht="17.25" x14ac:dyDescent="0.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</row>
    <row r="520" spans="1:40" ht="17.25" x14ac:dyDescent="0.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</row>
    <row r="521" spans="1:40" ht="17.25" x14ac:dyDescent="0.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</row>
    <row r="522" spans="1:40" ht="17.25" x14ac:dyDescent="0.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</row>
    <row r="523" spans="1:40" ht="17.25" x14ac:dyDescent="0.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</row>
    <row r="524" spans="1:40" ht="17.25" x14ac:dyDescent="0.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</row>
    <row r="525" spans="1:40" ht="17.25" x14ac:dyDescent="0.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</row>
    <row r="526" spans="1:40" ht="17.25" x14ac:dyDescent="0.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</row>
    <row r="527" spans="1:40" ht="17.25" x14ac:dyDescent="0.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</row>
    <row r="528" spans="1:40" ht="17.25" x14ac:dyDescent="0.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</row>
    <row r="529" spans="1:40" ht="17.25" x14ac:dyDescent="0.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</row>
    <row r="530" spans="1:40" ht="17.25" x14ac:dyDescent="0.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</row>
    <row r="531" spans="1:40" ht="17.25" x14ac:dyDescent="0.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</row>
    <row r="532" spans="1:40" ht="17.25" x14ac:dyDescent="0.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</row>
    <row r="533" spans="1:40" ht="17.25" x14ac:dyDescent="0.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</row>
    <row r="534" spans="1:40" ht="17.25" x14ac:dyDescent="0.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</row>
    <row r="535" spans="1:40" ht="17.25" x14ac:dyDescent="0.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</row>
    <row r="536" spans="1:40" ht="17.25" x14ac:dyDescent="0.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</row>
    <row r="537" spans="1:40" ht="17.25" x14ac:dyDescent="0.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</row>
    <row r="538" spans="1:40" ht="17.25" x14ac:dyDescent="0.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</row>
    <row r="539" spans="1:40" ht="17.25" x14ac:dyDescent="0.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</row>
    <row r="540" spans="1:40" ht="17.25" x14ac:dyDescent="0.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</row>
    <row r="541" spans="1:40" ht="17.25" x14ac:dyDescent="0.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</row>
    <row r="542" spans="1:40" ht="17.25" x14ac:dyDescent="0.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</row>
    <row r="543" spans="1:40" ht="17.25" x14ac:dyDescent="0.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</row>
    <row r="544" spans="1:40" ht="17.25" x14ac:dyDescent="0.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</row>
    <row r="545" spans="1:40" ht="17.25" x14ac:dyDescent="0.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</row>
    <row r="546" spans="1:40" ht="17.25" x14ac:dyDescent="0.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</row>
    <row r="547" spans="1:40" ht="17.25" x14ac:dyDescent="0.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</row>
    <row r="548" spans="1:40" ht="17.25" x14ac:dyDescent="0.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</row>
    <row r="549" spans="1:40" ht="17.25" x14ac:dyDescent="0.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</row>
    <row r="550" spans="1:40" ht="17.25" x14ac:dyDescent="0.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</row>
    <row r="551" spans="1:40" ht="17.25" x14ac:dyDescent="0.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</row>
    <row r="552" spans="1:40" ht="17.25" x14ac:dyDescent="0.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</row>
    <row r="553" spans="1:40" ht="17.25" x14ac:dyDescent="0.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</row>
    <row r="554" spans="1:40" ht="17.25" x14ac:dyDescent="0.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</row>
    <row r="555" spans="1:40" ht="17.25" x14ac:dyDescent="0.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</row>
    <row r="556" spans="1:40" ht="17.25" x14ac:dyDescent="0.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</row>
    <row r="557" spans="1:40" ht="17.25" x14ac:dyDescent="0.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</row>
    <row r="558" spans="1:40" ht="17.25" x14ac:dyDescent="0.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</row>
    <row r="559" spans="1:40" ht="17.25" x14ac:dyDescent="0.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</row>
    <row r="560" spans="1:40" ht="17.25" x14ac:dyDescent="0.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</row>
    <row r="561" spans="1:40" ht="17.25" x14ac:dyDescent="0.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</row>
    <row r="562" spans="1:40" ht="17.25" x14ac:dyDescent="0.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</row>
    <row r="563" spans="1:40" ht="17.25" x14ac:dyDescent="0.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</row>
    <row r="564" spans="1:40" ht="17.25" x14ac:dyDescent="0.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</row>
    <row r="565" spans="1:40" ht="17.25" x14ac:dyDescent="0.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</row>
    <row r="566" spans="1:40" ht="17.25" x14ac:dyDescent="0.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</row>
    <row r="567" spans="1:40" ht="17.25" x14ac:dyDescent="0.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</row>
    <row r="568" spans="1:40" ht="17.25" x14ac:dyDescent="0.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</row>
    <row r="569" spans="1:40" ht="17.25" x14ac:dyDescent="0.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</row>
    <row r="570" spans="1:40" ht="17.25" x14ac:dyDescent="0.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</row>
    <row r="571" spans="1:40" ht="17.25" x14ac:dyDescent="0.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</row>
    <row r="572" spans="1:40" ht="17.25" x14ac:dyDescent="0.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</row>
    <row r="573" spans="1:40" ht="17.25" x14ac:dyDescent="0.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</row>
    <row r="574" spans="1:40" ht="17.25" x14ac:dyDescent="0.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</row>
    <row r="575" spans="1:40" ht="17.25" x14ac:dyDescent="0.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</row>
    <row r="576" spans="1:40" ht="17.25" x14ac:dyDescent="0.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</row>
    <row r="577" spans="1:40" ht="17.25" x14ac:dyDescent="0.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</row>
    <row r="578" spans="1:40" ht="17.25" x14ac:dyDescent="0.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</row>
    <row r="579" spans="1:40" ht="17.25" x14ac:dyDescent="0.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</row>
    <row r="580" spans="1:40" ht="17.25" x14ac:dyDescent="0.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</row>
    <row r="581" spans="1:40" ht="17.25" x14ac:dyDescent="0.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</row>
    <row r="582" spans="1:40" ht="17.25" x14ac:dyDescent="0.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</row>
    <row r="583" spans="1:40" ht="17.25" x14ac:dyDescent="0.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</row>
    <row r="584" spans="1:40" ht="17.25" x14ac:dyDescent="0.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</row>
    <row r="585" spans="1:40" ht="17.25" x14ac:dyDescent="0.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</row>
    <row r="586" spans="1:40" ht="17.25" x14ac:dyDescent="0.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</row>
    <row r="587" spans="1:40" ht="17.25" x14ac:dyDescent="0.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</row>
    <row r="588" spans="1:40" ht="17.25" x14ac:dyDescent="0.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</row>
    <row r="589" spans="1:40" ht="17.25" x14ac:dyDescent="0.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</row>
    <row r="590" spans="1:40" ht="17.25" x14ac:dyDescent="0.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</row>
    <row r="591" spans="1:40" ht="17.25" x14ac:dyDescent="0.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</row>
    <row r="592" spans="1:40" ht="17.25" x14ac:dyDescent="0.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</row>
    <row r="593" spans="1:40" ht="17.25" x14ac:dyDescent="0.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</row>
    <row r="594" spans="1:40" ht="17.25" x14ac:dyDescent="0.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</row>
    <row r="595" spans="1:40" ht="17.25" x14ac:dyDescent="0.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</row>
    <row r="596" spans="1:40" ht="17.25" x14ac:dyDescent="0.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</row>
    <row r="597" spans="1:40" ht="17.25" x14ac:dyDescent="0.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</row>
    <row r="598" spans="1:40" ht="17.25" x14ac:dyDescent="0.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</row>
    <row r="599" spans="1:40" ht="17.25" x14ac:dyDescent="0.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</row>
    <row r="600" spans="1:40" ht="17.25" x14ac:dyDescent="0.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</row>
    <row r="601" spans="1:40" ht="17.25" x14ac:dyDescent="0.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</row>
    <row r="602" spans="1:40" ht="17.25" x14ac:dyDescent="0.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</row>
    <row r="603" spans="1:40" ht="17.25" x14ac:dyDescent="0.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</row>
    <row r="604" spans="1:40" ht="17.25" x14ac:dyDescent="0.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</row>
    <row r="605" spans="1:40" ht="17.25" x14ac:dyDescent="0.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</row>
    <row r="606" spans="1:40" ht="17.25" x14ac:dyDescent="0.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</row>
    <row r="607" spans="1:40" ht="17.25" x14ac:dyDescent="0.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</row>
    <row r="608" spans="1:40" ht="17.25" x14ac:dyDescent="0.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</row>
    <row r="609" spans="1:40" ht="17.25" x14ac:dyDescent="0.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</row>
    <row r="610" spans="1:40" ht="17.25" x14ac:dyDescent="0.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</row>
    <row r="611" spans="1:40" ht="17.25" x14ac:dyDescent="0.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</row>
    <row r="612" spans="1:40" ht="17.25" x14ac:dyDescent="0.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</row>
    <row r="613" spans="1:40" ht="17.25" x14ac:dyDescent="0.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</row>
    <row r="614" spans="1:40" ht="17.25" x14ac:dyDescent="0.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</row>
    <row r="615" spans="1:40" ht="17.25" x14ac:dyDescent="0.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</row>
    <row r="616" spans="1:40" ht="17.25" x14ac:dyDescent="0.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</row>
    <row r="617" spans="1:40" ht="17.25" x14ac:dyDescent="0.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</row>
    <row r="618" spans="1:40" ht="17.25" x14ac:dyDescent="0.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</row>
    <row r="619" spans="1:40" ht="17.25" x14ac:dyDescent="0.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</row>
    <row r="620" spans="1:40" ht="17.25" x14ac:dyDescent="0.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</row>
    <row r="621" spans="1:40" ht="17.25" x14ac:dyDescent="0.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</row>
    <row r="622" spans="1:40" ht="17.25" x14ac:dyDescent="0.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</row>
    <row r="623" spans="1:40" ht="17.25" x14ac:dyDescent="0.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</row>
    <row r="624" spans="1:40" ht="17.25" x14ac:dyDescent="0.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</row>
    <row r="625" spans="1:40" ht="17.25" x14ac:dyDescent="0.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</row>
    <row r="626" spans="1:40" ht="17.25" x14ac:dyDescent="0.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</row>
    <row r="627" spans="1:40" ht="17.25" x14ac:dyDescent="0.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</row>
    <row r="628" spans="1:40" ht="17.25" x14ac:dyDescent="0.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</row>
    <row r="629" spans="1:40" ht="17.25" x14ac:dyDescent="0.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</row>
    <row r="630" spans="1:40" ht="17.25" x14ac:dyDescent="0.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</row>
    <row r="631" spans="1:40" ht="17.25" x14ac:dyDescent="0.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</row>
    <row r="632" spans="1:40" ht="17.25" x14ac:dyDescent="0.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</row>
    <row r="633" spans="1:40" ht="17.25" x14ac:dyDescent="0.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</row>
    <row r="634" spans="1:40" ht="17.25" x14ac:dyDescent="0.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</row>
    <row r="635" spans="1:40" ht="17.25" x14ac:dyDescent="0.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</row>
    <row r="636" spans="1:40" ht="17.25" x14ac:dyDescent="0.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</row>
    <row r="637" spans="1:40" ht="17.25" x14ac:dyDescent="0.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</row>
    <row r="638" spans="1:40" ht="17.25" x14ac:dyDescent="0.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</row>
    <row r="639" spans="1:40" ht="17.25" x14ac:dyDescent="0.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</row>
    <row r="640" spans="1:40" ht="17.25" x14ac:dyDescent="0.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</row>
    <row r="641" spans="1:40" ht="17.25" x14ac:dyDescent="0.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</row>
    <row r="642" spans="1:40" ht="17.25" x14ac:dyDescent="0.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</row>
    <row r="643" spans="1:40" ht="17.25" x14ac:dyDescent="0.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</row>
    <row r="644" spans="1:40" ht="17.25" x14ac:dyDescent="0.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</row>
    <row r="645" spans="1:40" ht="17.25" x14ac:dyDescent="0.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</row>
    <row r="646" spans="1:40" ht="17.25" x14ac:dyDescent="0.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</row>
    <row r="647" spans="1:40" ht="17.25" x14ac:dyDescent="0.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</row>
    <row r="648" spans="1:40" ht="17.25" x14ac:dyDescent="0.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</row>
    <row r="649" spans="1:40" ht="17.25" x14ac:dyDescent="0.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</row>
    <row r="650" spans="1:40" ht="17.25" x14ac:dyDescent="0.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</row>
    <row r="651" spans="1:40" ht="17.25" x14ac:dyDescent="0.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</row>
    <row r="652" spans="1:40" ht="17.25" x14ac:dyDescent="0.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</row>
    <row r="653" spans="1:40" ht="17.25" x14ac:dyDescent="0.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</row>
    <row r="654" spans="1:40" ht="17.25" x14ac:dyDescent="0.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</row>
    <row r="655" spans="1:40" ht="17.25" x14ac:dyDescent="0.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</row>
    <row r="656" spans="1:40" ht="17.25" x14ac:dyDescent="0.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</row>
    <row r="657" spans="1:40" ht="17.25" x14ac:dyDescent="0.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</row>
    <row r="658" spans="1:40" ht="17.25" x14ac:dyDescent="0.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</row>
    <row r="659" spans="1:40" ht="17.25" x14ac:dyDescent="0.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</row>
    <row r="660" spans="1:40" ht="17.25" x14ac:dyDescent="0.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</row>
    <row r="661" spans="1:40" ht="17.25" x14ac:dyDescent="0.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</row>
    <row r="662" spans="1:40" ht="17.25" x14ac:dyDescent="0.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</row>
    <row r="663" spans="1:40" ht="17.25" x14ac:dyDescent="0.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</row>
    <row r="664" spans="1:40" ht="17.25" x14ac:dyDescent="0.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</row>
    <row r="665" spans="1:40" ht="17.25" x14ac:dyDescent="0.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</row>
    <row r="666" spans="1:40" ht="17.25" x14ac:dyDescent="0.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</row>
    <row r="667" spans="1:40" ht="17.25" x14ac:dyDescent="0.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</row>
    <row r="668" spans="1:40" ht="17.25" x14ac:dyDescent="0.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</row>
    <row r="669" spans="1:40" ht="17.25" x14ac:dyDescent="0.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</row>
    <row r="670" spans="1:40" ht="17.25" x14ac:dyDescent="0.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</row>
    <row r="671" spans="1:40" ht="17.25" x14ac:dyDescent="0.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</row>
    <row r="672" spans="1:40" ht="17.25" x14ac:dyDescent="0.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</row>
    <row r="673" spans="1:40" ht="17.25" x14ac:dyDescent="0.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</row>
    <row r="674" spans="1:40" ht="17.25" x14ac:dyDescent="0.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</row>
    <row r="675" spans="1:40" ht="17.25" x14ac:dyDescent="0.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</row>
    <row r="676" spans="1:40" ht="17.25" x14ac:dyDescent="0.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</row>
    <row r="677" spans="1:40" ht="17.25" x14ac:dyDescent="0.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</row>
    <row r="678" spans="1:40" ht="17.25" x14ac:dyDescent="0.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</row>
    <row r="679" spans="1:40" ht="17.25" x14ac:dyDescent="0.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</row>
    <row r="680" spans="1:40" ht="17.25" x14ac:dyDescent="0.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</row>
    <row r="681" spans="1:40" ht="17.25" x14ac:dyDescent="0.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</row>
    <row r="682" spans="1:40" ht="17.25" x14ac:dyDescent="0.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</row>
    <row r="683" spans="1:40" ht="17.25" x14ac:dyDescent="0.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</row>
    <row r="684" spans="1:40" ht="17.25" x14ac:dyDescent="0.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</row>
    <row r="685" spans="1:40" ht="17.25" x14ac:dyDescent="0.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</row>
    <row r="686" spans="1:40" ht="17.25" x14ac:dyDescent="0.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</row>
    <row r="687" spans="1:40" ht="17.25" x14ac:dyDescent="0.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</row>
    <row r="688" spans="1:40" ht="17.25" x14ac:dyDescent="0.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</row>
    <row r="689" spans="1:40" ht="17.25" x14ac:dyDescent="0.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</row>
    <row r="690" spans="1:40" ht="17.25" x14ac:dyDescent="0.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</row>
    <row r="691" spans="1:40" ht="17.25" x14ac:dyDescent="0.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</row>
    <row r="692" spans="1:40" ht="17.25" x14ac:dyDescent="0.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</row>
    <row r="693" spans="1:40" ht="17.25" x14ac:dyDescent="0.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</row>
    <row r="694" spans="1:40" ht="17.25" x14ac:dyDescent="0.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</row>
    <row r="695" spans="1:40" ht="17.25" x14ac:dyDescent="0.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</row>
    <row r="696" spans="1:40" ht="17.25" x14ac:dyDescent="0.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</row>
    <row r="697" spans="1:40" ht="17.25" x14ac:dyDescent="0.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</row>
    <row r="698" spans="1:40" ht="17.25" x14ac:dyDescent="0.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</row>
    <row r="699" spans="1:40" ht="17.25" x14ac:dyDescent="0.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</row>
    <row r="700" spans="1:40" ht="17.25" x14ac:dyDescent="0.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</row>
    <row r="701" spans="1:40" ht="17.25" x14ac:dyDescent="0.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</row>
    <row r="702" spans="1:40" ht="17.25" x14ac:dyDescent="0.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</row>
    <row r="703" spans="1:40" ht="17.25" x14ac:dyDescent="0.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</row>
    <row r="704" spans="1:40" ht="17.25" x14ac:dyDescent="0.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</row>
    <row r="705" spans="1:40" ht="17.25" x14ac:dyDescent="0.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</row>
    <row r="706" spans="1:40" ht="17.25" x14ac:dyDescent="0.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</row>
    <row r="707" spans="1:40" ht="17.25" x14ac:dyDescent="0.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</row>
    <row r="708" spans="1:40" ht="17.25" x14ac:dyDescent="0.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</row>
    <row r="709" spans="1:40" ht="17.25" x14ac:dyDescent="0.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</row>
    <row r="710" spans="1:40" ht="17.25" x14ac:dyDescent="0.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</row>
    <row r="711" spans="1:40" ht="17.25" x14ac:dyDescent="0.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</row>
    <row r="712" spans="1:40" ht="17.25" x14ac:dyDescent="0.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</row>
    <row r="713" spans="1:40" ht="17.25" x14ac:dyDescent="0.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</row>
    <row r="714" spans="1:40" ht="17.25" x14ac:dyDescent="0.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</row>
    <row r="715" spans="1:40" ht="17.25" x14ac:dyDescent="0.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</row>
    <row r="716" spans="1:40" ht="17.25" x14ac:dyDescent="0.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</row>
    <row r="717" spans="1:40" ht="17.25" x14ac:dyDescent="0.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</row>
    <row r="718" spans="1:40" ht="17.25" x14ac:dyDescent="0.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</row>
    <row r="719" spans="1:40" ht="17.25" x14ac:dyDescent="0.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</row>
    <row r="720" spans="1:40" ht="17.25" x14ac:dyDescent="0.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</row>
    <row r="721" spans="1:40" ht="17.25" x14ac:dyDescent="0.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</row>
    <row r="722" spans="1:40" ht="17.25" x14ac:dyDescent="0.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</row>
    <row r="723" spans="1:40" ht="17.25" x14ac:dyDescent="0.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</row>
    <row r="724" spans="1:40" ht="17.25" x14ac:dyDescent="0.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</row>
    <row r="725" spans="1:40" ht="17.25" x14ac:dyDescent="0.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</row>
    <row r="726" spans="1:40" ht="17.25" x14ac:dyDescent="0.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</row>
    <row r="727" spans="1:40" ht="17.25" x14ac:dyDescent="0.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</row>
    <row r="728" spans="1:40" ht="17.25" x14ac:dyDescent="0.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</row>
    <row r="729" spans="1:40" ht="17.25" x14ac:dyDescent="0.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</row>
    <row r="730" spans="1:40" ht="17.25" x14ac:dyDescent="0.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</row>
    <row r="731" spans="1:40" ht="17.25" x14ac:dyDescent="0.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</row>
    <row r="732" spans="1:40" ht="17.25" x14ac:dyDescent="0.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</row>
    <row r="733" spans="1:40" ht="17.25" x14ac:dyDescent="0.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</row>
    <row r="734" spans="1:40" ht="17.25" x14ac:dyDescent="0.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</row>
    <row r="735" spans="1:40" ht="17.25" x14ac:dyDescent="0.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</row>
    <row r="736" spans="1:40" ht="17.25" x14ac:dyDescent="0.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</row>
    <row r="737" spans="1:40" ht="17.25" x14ac:dyDescent="0.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</row>
    <row r="738" spans="1:40" ht="17.25" x14ac:dyDescent="0.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</row>
    <row r="739" spans="1:40" ht="17.25" x14ac:dyDescent="0.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</row>
    <row r="740" spans="1:40" ht="17.25" x14ac:dyDescent="0.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</row>
    <row r="741" spans="1:40" ht="17.25" x14ac:dyDescent="0.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</row>
    <row r="742" spans="1:40" ht="17.25" x14ac:dyDescent="0.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</row>
    <row r="743" spans="1:40" ht="17.25" x14ac:dyDescent="0.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</row>
    <row r="744" spans="1:40" ht="17.25" x14ac:dyDescent="0.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</row>
    <row r="745" spans="1:40" ht="17.25" x14ac:dyDescent="0.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</row>
    <row r="746" spans="1:40" ht="17.25" x14ac:dyDescent="0.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</row>
    <row r="747" spans="1:40" ht="17.25" x14ac:dyDescent="0.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</row>
    <row r="748" spans="1:40" ht="17.25" x14ac:dyDescent="0.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</row>
    <row r="749" spans="1:40" ht="17.25" x14ac:dyDescent="0.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</row>
    <row r="750" spans="1:40" ht="17.25" x14ac:dyDescent="0.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</row>
    <row r="751" spans="1:40" ht="17.25" x14ac:dyDescent="0.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</row>
    <row r="752" spans="1:40" ht="17.25" x14ac:dyDescent="0.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</row>
    <row r="753" spans="1:40" ht="17.25" x14ac:dyDescent="0.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</row>
    <row r="754" spans="1:40" ht="17.25" x14ac:dyDescent="0.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</row>
    <row r="755" spans="1:40" ht="17.25" x14ac:dyDescent="0.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</row>
    <row r="756" spans="1:40" ht="17.25" x14ac:dyDescent="0.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</row>
    <row r="757" spans="1:40" ht="17.25" x14ac:dyDescent="0.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</row>
    <row r="758" spans="1:40" ht="17.25" x14ac:dyDescent="0.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</row>
    <row r="759" spans="1:40" ht="17.25" x14ac:dyDescent="0.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</row>
    <row r="760" spans="1:40" ht="17.25" x14ac:dyDescent="0.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</row>
    <row r="761" spans="1:40" ht="17.25" x14ac:dyDescent="0.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</row>
    <row r="762" spans="1:40" ht="17.25" x14ac:dyDescent="0.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</row>
    <row r="763" spans="1:40" ht="17.25" x14ac:dyDescent="0.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</row>
    <row r="764" spans="1:40" ht="17.25" x14ac:dyDescent="0.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</row>
    <row r="765" spans="1:40" ht="17.25" x14ac:dyDescent="0.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</row>
    <row r="766" spans="1:40" ht="17.25" x14ac:dyDescent="0.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</row>
    <row r="767" spans="1:40" ht="17.25" x14ac:dyDescent="0.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</row>
    <row r="768" spans="1:40" ht="17.25" x14ac:dyDescent="0.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</row>
    <row r="769" spans="1:40" ht="17.25" x14ac:dyDescent="0.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</row>
    <row r="770" spans="1:40" ht="17.25" x14ac:dyDescent="0.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</row>
    <row r="771" spans="1:40" ht="17.25" x14ac:dyDescent="0.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</row>
    <row r="772" spans="1:40" ht="17.25" x14ac:dyDescent="0.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</row>
    <row r="773" spans="1:40" ht="17.25" x14ac:dyDescent="0.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</row>
    <row r="774" spans="1:40" ht="17.25" x14ac:dyDescent="0.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</row>
    <row r="775" spans="1:40" ht="17.25" x14ac:dyDescent="0.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</row>
    <row r="776" spans="1:40" ht="17.25" x14ac:dyDescent="0.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</row>
    <row r="777" spans="1:40" ht="17.25" x14ac:dyDescent="0.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</row>
    <row r="778" spans="1:40" ht="17.25" x14ac:dyDescent="0.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</row>
    <row r="779" spans="1:40" ht="17.25" x14ac:dyDescent="0.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</row>
    <row r="780" spans="1:40" ht="17.25" x14ac:dyDescent="0.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</row>
    <row r="781" spans="1:40" ht="17.25" x14ac:dyDescent="0.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</row>
    <row r="782" spans="1:40" ht="17.25" x14ac:dyDescent="0.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</row>
    <row r="783" spans="1:40" ht="17.25" x14ac:dyDescent="0.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</row>
    <row r="784" spans="1:40" ht="17.25" x14ac:dyDescent="0.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</row>
    <row r="785" spans="1:40" ht="17.25" x14ac:dyDescent="0.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</row>
    <row r="786" spans="1:40" ht="17.25" x14ac:dyDescent="0.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</row>
    <row r="787" spans="1:40" ht="17.25" x14ac:dyDescent="0.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</row>
    <row r="788" spans="1:40" ht="17.25" x14ac:dyDescent="0.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</row>
    <row r="789" spans="1:40" ht="17.25" x14ac:dyDescent="0.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</row>
    <row r="790" spans="1:40" ht="17.25" x14ac:dyDescent="0.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</row>
    <row r="791" spans="1:40" ht="17.25" x14ac:dyDescent="0.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</row>
    <row r="792" spans="1:40" ht="17.25" x14ac:dyDescent="0.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</row>
    <row r="793" spans="1:40" ht="17.25" x14ac:dyDescent="0.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</row>
    <row r="794" spans="1:40" ht="17.25" x14ac:dyDescent="0.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</row>
    <row r="795" spans="1:40" ht="17.25" x14ac:dyDescent="0.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</row>
    <row r="796" spans="1:40" ht="17.25" x14ac:dyDescent="0.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</row>
    <row r="797" spans="1:40" ht="17.25" x14ac:dyDescent="0.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</row>
    <row r="798" spans="1:40" ht="17.25" x14ac:dyDescent="0.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</row>
    <row r="799" spans="1:40" ht="17.25" x14ac:dyDescent="0.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</row>
    <row r="800" spans="1:40" ht="17.25" x14ac:dyDescent="0.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</row>
    <row r="801" spans="1:40" ht="17.25" x14ac:dyDescent="0.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</row>
    <row r="802" spans="1:40" ht="17.25" x14ac:dyDescent="0.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</row>
    <row r="803" spans="1:40" ht="17.25" x14ac:dyDescent="0.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</row>
    <row r="804" spans="1:40" ht="17.25" x14ac:dyDescent="0.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</row>
    <row r="805" spans="1:40" ht="17.25" x14ac:dyDescent="0.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</row>
    <row r="806" spans="1:40" ht="17.25" x14ac:dyDescent="0.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</row>
    <row r="807" spans="1:40" ht="17.25" x14ac:dyDescent="0.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</row>
    <row r="808" spans="1:40" ht="17.25" x14ac:dyDescent="0.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</row>
    <row r="809" spans="1:40" ht="17.25" x14ac:dyDescent="0.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</row>
    <row r="810" spans="1:40" ht="17.25" x14ac:dyDescent="0.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</row>
    <row r="811" spans="1:40" ht="17.25" x14ac:dyDescent="0.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</row>
    <row r="812" spans="1:40" ht="17.25" x14ac:dyDescent="0.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</row>
    <row r="813" spans="1:40" ht="17.25" x14ac:dyDescent="0.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</row>
    <row r="814" spans="1:40" ht="17.25" x14ac:dyDescent="0.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</row>
    <row r="815" spans="1:40" ht="17.25" x14ac:dyDescent="0.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</row>
    <row r="816" spans="1:40" ht="17.25" x14ac:dyDescent="0.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</row>
    <row r="817" spans="1:40" ht="17.25" x14ac:dyDescent="0.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</row>
    <row r="818" spans="1:40" ht="17.25" x14ac:dyDescent="0.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</row>
    <row r="819" spans="1:40" ht="17.25" x14ac:dyDescent="0.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</row>
    <row r="820" spans="1:40" ht="17.25" x14ac:dyDescent="0.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</row>
    <row r="821" spans="1:40" ht="17.25" x14ac:dyDescent="0.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</row>
    <row r="822" spans="1:40" ht="17.25" x14ac:dyDescent="0.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</row>
    <row r="823" spans="1:40" ht="17.25" x14ac:dyDescent="0.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</row>
    <row r="824" spans="1:40" ht="17.25" x14ac:dyDescent="0.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</row>
    <row r="825" spans="1:40" ht="17.25" x14ac:dyDescent="0.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</row>
    <row r="826" spans="1:40" ht="17.25" x14ac:dyDescent="0.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</row>
    <row r="827" spans="1:40" ht="17.25" x14ac:dyDescent="0.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</row>
    <row r="828" spans="1:40" ht="17.25" x14ac:dyDescent="0.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</row>
    <row r="829" spans="1:40" ht="17.25" x14ac:dyDescent="0.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</row>
    <row r="830" spans="1:40" ht="17.25" x14ac:dyDescent="0.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</row>
    <row r="831" spans="1:40" ht="17.25" x14ac:dyDescent="0.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</row>
    <row r="832" spans="1:40" ht="17.25" x14ac:dyDescent="0.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</row>
    <row r="833" spans="1:40" ht="17.25" x14ac:dyDescent="0.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</row>
    <row r="834" spans="1:40" ht="17.25" x14ac:dyDescent="0.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</row>
    <row r="835" spans="1:40" ht="17.25" x14ac:dyDescent="0.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</row>
    <row r="836" spans="1:40" ht="17.25" x14ac:dyDescent="0.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</row>
    <row r="837" spans="1:40" ht="17.25" x14ac:dyDescent="0.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</row>
    <row r="838" spans="1:40" ht="17.25" x14ac:dyDescent="0.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</row>
    <row r="839" spans="1:40" ht="17.25" x14ac:dyDescent="0.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</row>
    <row r="840" spans="1:40" ht="17.25" x14ac:dyDescent="0.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</row>
    <row r="841" spans="1:40" ht="17.25" x14ac:dyDescent="0.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</row>
    <row r="842" spans="1:40" ht="17.25" x14ac:dyDescent="0.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</row>
    <row r="843" spans="1:40" ht="17.25" x14ac:dyDescent="0.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</row>
    <row r="844" spans="1:40" ht="17.25" x14ac:dyDescent="0.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</row>
    <row r="845" spans="1:40" ht="17.25" x14ac:dyDescent="0.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</row>
    <row r="846" spans="1:40" ht="17.25" x14ac:dyDescent="0.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</row>
    <row r="847" spans="1:40" ht="17.25" x14ac:dyDescent="0.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</row>
    <row r="848" spans="1:40" ht="17.25" x14ac:dyDescent="0.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</row>
    <row r="849" spans="1:40" ht="17.25" x14ac:dyDescent="0.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</row>
    <row r="850" spans="1:40" ht="17.25" x14ac:dyDescent="0.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</row>
    <row r="851" spans="1:40" ht="17.25" x14ac:dyDescent="0.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</row>
    <row r="852" spans="1:40" ht="17.25" x14ac:dyDescent="0.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</row>
    <row r="853" spans="1:40" ht="17.25" x14ac:dyDescent="0.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</row>
    <row r="854" spans="1:40" ht="17.25" x14ac:dyDescent="0.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</row>
    <row r="855" spans="1:40" ht="17.25" x14ac:dyDescent="0.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</row>
    <row r="856" spans="1:40" ht="17.25" x14ac:dyDescent="0.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</row>
    <row r="857" spans="1:40" ht="17.25" x14ac:dyDescent="0.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</row>
    <row r="858" spans="1:40" ht="17.25" x14ac:dyDescent="0.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</row>
    <row r="859" spans="1:40" ht="17.25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</row>
    <row r="860" spans="1:40" ht="17.25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</row>
    <row r="861" spans="1:40" ht="17.25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</row>
    <row r="862" spans="1:40" ht="17.25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</row>
    <row r="863" spans="1:40" ht="17.25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</row>
    <row r="864" spans="1:40" ht="17.25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</row>
    <row r="865" spans="1:40" ht="17.25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</row>
    <row r="866" spans="1:40" ht="17.25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</row>
    <row r="867" spans="1:40" ht="17.25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</row>
    <row r="868" spans="1:40" ht="17.25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</row>
    <row r="869" spans="1:40" ht="17.25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</row>
    <row r="870" spans="1:40" ht="17.25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</row>
    <row r="871" spans="1:40" ht="17.25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</row>
    <row r="872" spans="1:40" ht="17.25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</row>
    <row r="873" spans="1:40" ht="17.25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</row>
    <row r="874" spans="1:40" ht="17.25" x14ac:dyDescent="0.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</row>
    <row r="875" spans="1:40" ht="17.25" x14ac:dyDescent="0.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</row>
    <row r="876" spans="1:40" ht="17.25" x14ac:dyDescent="0.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</row>
    <row r="877" spans="1:40" ht="17.25" x14ac:dyDescent="0.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</row>
    <row r="878" spans="1:40" ht="17.25" x14ac:dyDescent="0.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</row>
    <row r="879" spans="1:40" ht="17.25" x14ac:dyDescent="0.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</row>
    <row r="880" spans="1:40" ht="17.25" x14ac:dyDescent="0.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</row>
    <row r="881" spans="1:40" ht="17.25" x14ac:dyDescent="0.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</row>
    <row r="882" spans="1:40" ht="17.25" x14ac:dyDescent="0.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</row>
    <row r="883" spans="1:40" ht="17.25" x14ac:dyDescent="0.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</row>
    <row r="884" spans="1:40" ht="17.25" x14ac:dyDescent="0.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</row>
    <row r="885" spans="1:40" ht="17.25" x14ac:dyDescent="0.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</row>
    <row r="886" spans="1:40" ht="17.25" x14ac:dyDescent="0.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</row>
    <row r="887" spans="1:40" ht="17.25" x14ac:dyDescent="0.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</row>
    <row r="888" spans="1:40" ht="17.25" x14ac:dyDescent="0.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</row>
    <row r="889" spans="1:40" ht="17.25" x14ac:dyDescent="0.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</row>
    <row r="890" spans="1:40" ht="17.25" x14ac:dyDescent="0.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</row>
    <row r="891" spans="1:40" ht="17.25" x14ac:dyDescent="0.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</row>
    <row r="892" spans="1:40" ht="17.25" x14ac:dyDescent="0.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</row>
    <row r="893" spans="1:40" ht="17.25" x14ac:dyDescent="0.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</row>
    <row r="894" spans="1:40" ht="17.25" x14ac:dyDescent="0.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</row>
    <row r="895" spans="1:40" ht="17.25" x14ac:dyDescent="0.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</row>
    <row r="896" spans="1:40" ht="17.25" x14ac:dyDescent="0.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</row>
    <row r="897" spans="1:40" ht="17.25" x14ac:dyDescent="0.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</row>
    <row r="898" spans="1:40" ht="17.25" x14ac:dyDescent="0.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</row>
    <row r="899" spans="1:40" ht="17.25" x14ac:dyDescent="0.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</row>
    <row r="900" spans="1:40" ht="17.25" x14ac:dyDescent="0.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</row>
    <row r="901" spans="1:40" ht="17.25" x14ac:dyDescent="0.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</row>
    <row r="902" spans="1:40" ht="17.25" x14ac:dyDescent="0.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</row>
    <row r="903" spans="1:40" ht="17.25" x14ac:dyDescent="0.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</row>
    <row r="904" spans="1:40" ht="17.25" x14ac:dyDescent="0.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</row>
    <row r="905" spans="1:40" ht="17.25" x14ac:dyDescent="0.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</row>
    <row r="906" spans="1:40" ht="17.25" x14ac:dyDescent="0.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</row>
    <row r="907" spans="1:40" ht="17.25" x14ac:dyDescent="0.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</row>
    <row r="908" spans="1:40" ht="17.25" x14ac:dyDescent="0.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</row>
    <row r="909" spans="1:40" ht="17.25" x14ac:dyDescent="0.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</row>
    <row r="910" spans="1:40" ht="17.25" x14ac:dyDescent="0.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</row>
    <row r="911" spans="1:40" ht="17.25" x14ac:dyDescent="0.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</row>
    <row r="912" spans="1:40" ht="17.25" x14ac:dyDescent="0.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</row>
    <row r="913" spans="1:40" ht="17.25" x14ac:dyDescent="0.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</row>
    <row r="914" spans="1:40" ht="17.25" x14ac:dyDescent="0.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</row>
    <row r="915" spans="1:40" ht="17.25" x14ac:dyDescent="0.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</row>
    <row r="916" spans="1:40" ht="17.25" x14ac:dyDescent="0.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</row>
    <row r="917" spans="1:40" ht="17.25" x14ac:dyDescent="0.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</row>
    <row r="918" spans="1:40" ht="17.25" x14ac:dyDescent="0.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</row>
    <row r="919" spans="1:40" ht="17.25" x14ac:dyDescent="0.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</row>
    <row r="920" spans="1:40" ht="17.25" x14ac:dyDescent="0.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</row>
    <row r="921" spans="1:40" ht="17.25" x14ac:dyDescent="0.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</row>
    <row r="922" spans="1:40" ht="17.25" x14ac:dyDescent="0.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</row>
    <row r="923" spans="1:40" ht="17.25" x14ac:dyDescent="0.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</row>
    <row r="924" spans="1:40" ht="17.25" x14ac:dyDescent="0.15">
      <c r="A924" s="19"/>
      <c r="B924" s="19"/>
      <c r="C924" s="19"/>
      <c r="D924" s="19"/>
      <c r="E924" s="19"/>
      <c r="F924" s="19"/>
      <c r="G924" s="19"/>
      <c r="H924" s="19"/>
      <c r="O924" s="19"/>
      <c r="P924" s="19"/>
      <c r="Q924" s="19"/>
      <c r="R924" s="19"/>
      <c r="S924" s="19"/>
      <c r="T924" s="19"/>
      <c r="U924" s="19"/>
    </row>
    <row r="925" spans="1:40" ht="17.25" x14ac:dyDescent="0.15">
      <c r="A925" s="19"/>
      <c r="B925" s="19"/>
      <c r="C925" s="19"/>
      <c r="D925" s="19"/>
      <c r="E925" s="19"/>
      <c r="F925" s="19"/>
      <c r="G925" s="19"/>
      <c r="H925" s="19"/>
      <c r="O925" s="19"/>
      <c r="P925" s="19"/>
      <c r="Q925" s="19"/>
      <c r="R925" s="19"/>
      <c r="S925" s="19"/>
      <c r="T925" s="19"/>
      <c r="U925" s="19"/>
    </row>
  </sheetData>
  <mergeCells count="2">
    <mergeCell ref="A2:B2"/>
    <mergeCell ref="A4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topLeftCell="A7" workbookViewId="0"/>
  </sheetViews>
  <sheetFormatPr defaultColWidth="12.5390625" defaultRowHeight="15.75" customHeight="1" x14ac:dyDescent="0.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2"/>
  <sheetViews>
    <sheetView workbookViewId="0"/>
  </sheetViews>
  <sheetFormatPr defaultColWidth="12.5390625" defaultRowHeight="15.75" customHeight="1" x14ac:dyDescent="0.15"/>
  <sheetData>
    <row r="1" spans="1:26" ht="12.75" x14ac:dyDescent="0.15">
      <c r="A1" s="166" t="s">
        <v>175</v>
      </c>
      <c r="B1" s="164"/>
      <c r="C1" s="164"/>
      <c r="D1" s="164"/>
      <c r="E1" s="164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6" ht="12.75" x14ac:dyDescent="0.15">
      <c r="A2" s="147" t="s">
        <v>176</v>
      </c>
      <c r="B2" s="148" t="s">
        <v>177</v>
      </c>
      <c r="C2" s="149" t="s">
        <v>178</v>
      </c>
      <c r="D2" s="149" t="s">
        <v>179</v>
      </c>
      <c r="E2" s="149" t="s">
        <v>180</v>
      </c>
      <c r="F2" s="146"/>
      <c r="G2" s="150" t="s">
        <v>180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2.75" hidden="1" x14ac:dyDescent="0.15">
      <c r="A3" s="146"/>
      <c r="B3" s="151" t="s">
        <v>181</v>
      </c>
      <c r="C3" s="151" t="s">
        <v>182</v>
      </c>
      <c r="D3" s="151" t="s">
        <v>183</v>
      </c>
      <c r="E3" s="151" t="s">
        <v>184</v>
      </c>
      <c r="F3" s="146"/>
      <c r="G3" s="146" t="str">
        <f>HLOOKUP(G2,$B$2:$E$3,2,0)</f>
        <v>//rates/item[title="RUB"]/description</v>
      </c>
      <c r="H3" s="146"/>
      <c r="I3" s="146"/>
      <c r="J3" s="151"/>
      <c r="K3" s="151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17.25" x14ac:dyDescent="0.15">
      <c r="A4" s="152">
        <v>44927</v>
      </c>
      <c r="B4" s="33" t="str">
        <f ca="1">IFERROR(__xludf.DUMMYFUNCTION("IFERROR(REGEXREPLACE(IMPORTXML(""https://nationalbank.kz/rss/get_rates.cfm?fdate=""&amp;TEXT($A4,""DD.MM.YYYY""),B$3),""[.]"","",""),REGEXREPLACE(IMPORTXML(""https://nationalbank.kz/rss/get_rates.cfm?fdate=""&amp;TEXT(TODAY(),""DD.MM.YYYY""),B$3),""[.]"","",""))"),"Loading...")</f>
        <v>Loading...</v>
      </c>
      <c r="C4" s="33" t="str">
        <f ca="1">IFERROR(__xludf.DUMMYFUNCTION("IFERROR(REGEXREPLACE(IMPORTXML(""https://nationalbank.kz/rss/get_rates.cfm?fdate=""&amp;TEXT($A4,""DD.MM.YYYY""),C$3),""[.]"","",""),REGEXREPLACE(IMPORTXML(""https://nationalbank.kz/rss/get_rates.cfm?fdate=""&amp;TEXT(TODAY(),""DD.MM.YYYY""),C$3),""[.]"","",""))"),"66,73")</f>
        <v>66,73</v>
      </c>
      <c r="D4" s="33" t="str">
        <f ca="1">IFERROR(__xludf.DUMMYFUNCTION("IFERROR(REGEXREPLACE(IMPORTXML(""https://nationalbank.kz/rss/get_rates.cfm?fdate=""&amp;TEXT($A4,""DD.MM.YYYY""),D$3),""[.]"","",""),REGEXREPLACE(IMPORTXML(""https://nationalbank.kz/rss/get_rates.cfm?fdate=""&amp;TEXT(TODAY(),""DD.MM.YYYY""),D$3),""[.]"","",""))"),"Loading...")</f>
        <v>Loading...</v>
      </c>
      <c r="E4" s="33" t="str">
        <f ca="1">IFERROR(__xludf.DUMMYFUNCTION("IFERROR(REGEXREPLACE(IMPORTXML(""https://nationalbank.kz/rss/get_rates.cfm?fdate=""&amp;TEXT($A4,""DD.MM.YYYY""),E$3),""[.]"","",""),REGEXREPLACE(IMPORTXML(""https://nationalbank.kz/rss/get_rates.cfm?fdate=""&amp;TEXT(TODAY(),""DD.MM.YYYY""),E$3),""[.]"","",""))"),"6,43")</f>
        <v>6,43</v>
      </c>
      <c r="F4" s="146"/>
      <c r="G4" s="153">
        <v>44932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17.25" x14ac:dyDescent="0.15">
      <c r="A5" s="152">
        <v>44928</v>
      </c>
      <c r="B5" s="33" t="str">
        <f ca="1">IFERROR(__xludf.DUMMYFUNCTION("IFERROR(REGEXREPLACE(IMPORTXML(""https://nationalbank.kz/rss/get_rates.cfm?fdate=""&amp;TEXT($A5,""DD.MM.YYYY""),B$3),""[.]"","",""),REGEXREPLACE(IMPORTXML(""https://nationalbank.kz/rss/get_rates.cfm?fdate=""&amp;TEXT(TODAY(),""DD.MM.YYYY""),B$3),""[.]"","",""))"),"462,65")</f>
        <v>462,65</v>
      </c>
      <c r="C5" s="33" t="str">
        <f ca="1">IFERROR(__xludf.DUMMYFUNCTION("IFERROR(REGEXREPLACE(IMPORTXML(""https://nationalbank.kz/rss/get_rates.cfm?fdate=""&amp;TEXT($A5,""DD.MM.YYYY""),C$3),""[.]"","",""),REGEXREPLACE(IMPORTXML(""https://nationalbank.kz/rss/get_rates.cfm?fdate=""&amp;TEXT(TODAY(),""DD.MM.YYYY""),C$3),""[.]"","",""))"),"Loading...")</f>
        <v>Loading...</v>
      </c>
      <c r="D5" s="33" t="str">
        <f ca="1">IFERROR(__xludf.DUMMYFUNCTION("IFERROR(REGEXREPLACE(IMPORTXML(""https://nationalbank.kz/rss/get_rates.cfm?fdate=""&amp;TEXT($A5,""DD.MM.YYYY""),D$3),""[.]"","",""),REGEXREPLACE(IMPORTXML(""https://nationalbank.kz/rss/get_rates.cfm?fdate=""&amp;TEXT(TODAY(),""DD.MM.YYYY""),D$3),""[.]"","",""))"),"492,86")</f>
        <v>492,86</v>
      </c>
      <c r="E5" s="33" t="str">
        <f ca="1">IFERROR(__xludf.DUMMYFUNCTION("IFERROR(REGEXREPLACE(IMPORTXML(""https://nationalbank.kz/rss/get_rates.cfm?fdate=""&amp;TEXT($A5,""DD.MM.YYYY""),E$3),""[.]"","",""),REGEXREPLACE(IMPORTXML(""https://nationalbank.kz/rss/get_rates.cfm?fdate=""&amp;TEXT(TODAY(),""DD.MM.YYYY""),E$3),""[.]"","",""))"),"6,43")</f>
        <v>6,43</v>
      </c>
      <c r="F5" s="146"/>
      <c r="G5" s="154" t="str">
        <f ca="1">IFERROR(__xludf.DUMMYFUNCTION("REGEXREPLACE(IMPORTXML(""https://nationalbank.kz/rss/get_rates.cfm?fdate=""&amp;TEXT($G$4,""DD.MM.YYYY""),G3),""[.]"","","")"),"6,53")</f>
        <v>6,53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6" ht="17.25" x14ac:dyDescent="0.15">
      <c r="A6" s="152">
        <v>44929</v>
      </c>
      <c r="B6" s="33" t="str">
        <f ca="1">IFERROR(__xludf.DUMMYFUNCTION("IFERROR(REGEXREPLACE(IMPORTXML(""https://nationalbank.kz/rss/get_rates.cfm?fdate=""&amp;TEXT($A6,""DD.MM.YYYY""),B$3),""[.]"","",""),REGEXREPLACE(IMPORTXML(""https://nationalbank.kz/rss/get_rates.cfm?fdate=""&amp;TEXT(TODAY(),""DD.MM.YYYY""),B$3),""[.]"","",""))"),"462,65")</f>
        <v>462,65</v>
      </c>
      <c r="C6" s="33" t="str">
        <f ca="1">IFERROR(__xludf.DUMMYFUNCTION("IFERROR(REGEXREPLACE(IMPORTXML(""https://nationalbank.kz/rss/get_rates.cfm?fdate=""&amp;TEXT($A6,""DD.MM.YYYY""),C$3),""[.]"","",""),REGEXREPLACE(IMPORTXML(""https://nationalbank.kz/rss/get_rates.cfm?fdate=""&amp;TEXT(TODAY(),""DD.MM.YYYY""),C$3),""[.]"","",""))"),"Loading...")</f>
        <v>Loading...</v>
      </c>
      <c r="D6" s="33" t="str">
        <f ca="1">IFERROR(__xludf.DUMMYFUNCTION("IFERROR(REGEXREPLACE(IMPORTXML(""https://nationalbank.kz/rss/get_rates.cfm?fdate=""&amp;TEXT($A6,""DD.MM.YYYY""),D$3),""[.]"","",""),REGEXREPLACE(IMPORTXML(""https://nationalbank.kz/rss/get_rates.cfm?fdate=""&amp;TEXT(TODAY(),""DD.MM.YYYY""),D$3),""[.]"","",""))"),"492,86")</f>
        <v>492,86</v>
      </c>
      <c r="E6" s="33" t="str">
        <f ca="1">IFERROR(__xludf.DUMMYFUNCTION("IFERROR(REGEXREPLACE(IMPORTXML(""https://nationalbank.kz/rss/get_rates.cfm?fdate=""&amp;TEXT($A6,""DD.MM.YYYY""),E$3),""[.]"","",""),REGEXREPLACE(IMPORTXML(""https://nationalbank.kz/rss/get_rates.cfm?fdate=""&amp;TEXT(TODAY(),""DD.MM.YYYY""),E$3),""[.]"","",""))"),"6,43")</f>
        <v>6,43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 ht="17.25" x14ac:dyDescent="0.15">
      <c r="A7" s="152">
        <v>44930</v>
      </c>
      <c r="B7" s="33" t="str">
        <f ca="1">IFERROR(__xludf.DUMMYFUNCTION("IFERROR(REGEXREPLACE(IMPORTXML(""https://nationalbank.kz/rss/get_rates.cfm?fdate=""&amp;TEXT($A7,""DD.MM.YYYY""),B$3),""[.]"","",""),REGEXREPLACE(IMPORTXML(""https://nationalbank.kz/rss/get_rates.cfm?fdate=""&amp;TEXT(TODAY(),""DD.MM.YYYY""),B$3),""[.]"","",""))"),"462,65")</f>
        <v>462,65</v>
      </c>
      <c r="C7" s="33" t="str">
        <f ca="1">IFERROR(__xludf.DUMMYFUNCTION("IFERROR(REGEXREPLACE(IMPORTXML(""https://nationalbank.kz/rss/get_rates.cfm?fdate=""&amp;TEXT($A7,""DD.MM.YYYY""),C$3),""[.]"","",""),REGEXREPLACE(IMPORTXML(""https://nationalbank.kz/rss/get_rates.cfm?fdate=""&amp;TEXT(TODAY(),""DD.MM.YYYY""),C$3),""[.]"","",""))"),"66,73")</f>
        <v>66,73</v>
      </c>
      <c r="D7" s="33" t="str">
        <f ca="1">IFERROR(__xludf.DUMMYFUNCTION("IFERROR(REGEXREPLACE(IMPORTXML(""https://nationalbank.kz/rss/get_rates.cfm?fdate=""&amp;TEXT($A7,""DD.MM.YYYY""),D$3),""[.]"","",""),REGEXREPLACE(IMPORTXML(""https://nationalbank.kz/rss/get_rates.cfm?fdate=""&amp;TEXT(TODAY(),""DD.MM.YYYY""),D$3),""[.]"","",""))"),"492,86")</f>
        <v>492,86</v>
      </c>
      <c r="E7" s="33" t="str">
        <f ca="1">IFERROR(__xludf.DUMMYFUNCTION("IFERROR(REGEXREPLACE(IMPORTXML(""https://nationalbank.kz/rss/get_rates.cfm?fdate=""&amp;TEXT($A7,""DD.MM.YYYY""),E$3),""[.]"","",""),REGEXREPLACE(IMPORTXML(""https://nationalbank.kz/rss/get_rates.cfm?fdate=""&amp;TEXT(TODAY(),""DD.MM.YYYY""),E$3),""[.]"","",""))"),"Loading...")</f>
        <v>Loading...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ht="17.25" x14ac:dyDescent="0.15">
      <c r="A8" s="152">
        <v>44931</v>
      </c>
      <c r="B8" s="33" t="str">
        <f ca="1">IFERROR(__xludf.DUMMYFUNCTION("IFERROR(REGEXREPLACE(IMPORTXML(""https://nationalbank.kz/rss/get_rates.cfm?fdate=""&amp;TEXT($A8,""DD.MM.YYYY""),B$3),""[.]"","",""),REGEXREPLACE(IMPORTXML(""https://nationalbank.kz/rss/get_rates.cfm?fdate=""&amp;TEXT(TODAY(),""DD.MM.YYYY""),B$3),""[.]"","",""))"),"465,39")</f>
        <v>465,39</v>
      </c>
      <c r="C8" s="33" t="str">
        <f ca="1">IFERROR(__xludf.DUMMYFUNCTION("IFERROR(REGEXREPLACE(IMPORTXML(""https://nationalbank.kz/rss/get_rates.cfm?fdate=""&amp;TEXT($A8,""DD.MM.YYYY""),C$3),""[.]"","",""),REGEXREPLACE(IMPORTXML(""https://nationalbank.kz/rss/get_rates.cfm?fdate=""&amp;TEXT(TODAY(),""DD.MM.YYYY""),C$3),""[.]"","",""))"),"67,66")</f>
        <v>67,66</v>
      </c>
      <c r="D8" s="33" t="str">
        <f ca="1">IFERROR(__xludf.DUMMYFUNCTION("IFERROR(REGEXREPLACE(IMPORTXML(""https://nationalbank.kz/rss/get_rates.cfm?fdate=""&amp;TEXT($A8,""DD.MM.YYYY""),D$3),""[.]"","",""),REGEXREPLACE(IMPORTXML(""https://nationalbank.kz/rss/get_rates.cfm?fdate=""&amp;TEXT(TODAY(),""DD.MM.YYYY""),D$3),""[.]"","",""))"),"493,78")</f>
        <v>493,78</v>
      </c>
      <c r="E8" s="33" t="str">
        <f ca="1">IFERROR(__xludf.DUMMYFUNCTION("IFERROR(REGEXREPLACE(IMPORTXML(""https://nationalbank.kz/rss/get_rates.cfm?fdate=""&amp;TEXT($A8,""DD.MM.YYYY""),E$3),""[.]"","",""),REGEXREPLACE(IMPORTXML(""https://nationalbank.kz/rss/get_rates.cfm?fdate=""&amp;TEXT(TODAY(),""DD.MM.YYYY""),E$3),""[.]"","",""))"),"6,53")</f>
        <v>6,53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ht="17.25" x14ac:dyDescent="0.15">
      <c r="A9" s="152">
        <v>44932</v>
      </c>
      <c r="B9" s="33" t="str">
        <f ca="1">IFERROR(__xludf.DUMMYFUNCTION("IFERROR(REGEXREPLACE(IMPORTXML(""https://nationalbank.kz/rss/get_rates.cfm?fdate=""&amp;TEXT($A9,""DD.MM.YYYY""),B$3),""[.]"","",""),REGEXREPLACE(IMPORTXML(""https://nationalbank.kz/rss/get_rates.cfm?fdate=""&amp;TEXT(TODAY(),""DD.MM.YYYY""),B$3),""[.]"","",""))"),"Loading...")</f>
        <v>Loading...</v>
      </c>
      <c r="C9" s="33" t="str">
        <f ca="1">IFERROR(__xludf.DUMMYFUNCTION("IFERROR(REGEXREPLACE(IMPORTXML(""https://nationalbank.kz/rss/get_rates.cfm?fdate=""&amp;TEXT($A9,""DD.MM.YYYY""),C$3),""[.]"","",""),REGEXREPLACE(IMPORTXML(""https://nationalbank.kz/rss/get_rates.cfm?fdate=""&amp;TEXT(TODAY(),""DD.MM.YYYY""),C$3),""[.]"","",""))"),"67,8")</f>
        <v>67,8</v>
      </c>
      <c r="D9" s="33" t="str">
        <f ca="1">IFERROR(__xludf.DUMMYFUNCTION("IFERROR(REGEXREPLACE(IMPORTXML(""https://nationalbank.kz/rss/get_rates.cfm?fdate=""&amp;TEXT($A9,""DD.MM.YYYY""),D$3),""[.]"","",""),REGEXREPLACE(IMPORTXML(""https://nationalbank.kz/rss/get_rates.cfm?fdate=""&amp;TEXT(TODAY(),""DD.MM.YYYY""),D$3),""[.]"","",""))"),"494,91")</f>
        <v>494,91</v>
      </c>
      <c r="E9" s="33" t="str">
        <f ca="1">IFERROR(__xludf.DUMMYFUNCTION("IFERROR(REGEXREPLACE(IMPORTXML(""https://nationalbank.kz/rss/get_rates.cfm?fdate=""&amp;TEXT($A9,""DD.MM.YYYY""),E$3),""[.]"","",""),REGEXREPLACE(IMPORTXML(""https://nationalbank.kz/rss/get_rates.cfm?fdate=""&amp;TEXT(TODAY(),""DD.MM.YYYY""),E$3),""[.]"","",""))"),"6,53")</f>
        <v>6,53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ht="17.25" x14ac:dyDescent="0.15">
      <c r="A10" s="152">
        <v>44933</v>
      </c>
      <c r="B10" s="33" t="str">
        <f ca="1">IFERROR(__xludf.DUMMYFUNCTION("IFERROR(REGEXREPLACE(IMPORTXML(""https://nationalbank.kz/rss/get_rates.cfm?fdate=""&amp;TEXT($A10,""DD.MM.YYYY""),B$3),""[.]"","",""),REGEXREPLACE(IMPORTXML(""https://nationalbank.kz/rss/get_rates.cfm?fdate=""&amp;TEXT(TODAY(),""DD.MM.YYYY""),B$3),""[.]"","",""))"),"463,31")</f>
        <v>463,31</v>
      </c>
      <c r="C10" s="33" t="str">
        <f ca="1">IFERROR(__xludf.DUMMYFUNCTION("IFERROR(REGEXREPLACE(IMPORTXML(""https://nationalbank.kz/rss/get_rates.cfm?fdate=""&amp;TEXT($A10,""DD.MM.YYYY""),C$3),""[.]"","",""),REGEXREPLACE(IMPORTXML(""https://nationalbank.kz/rss/get_rates.cfm?fdate=""&amp;TEXT(TODAY(),""DD.MM.YYYY""),C$3),""[.]"","",""))"),"67,52")</f>
        <v>67,52</v>
      </c>
      <c r="D10" s="33" t="str">
        <f ca="1">IFERROR(__xludf.DUMMYFUNCTION("IFERROR(REGEXREPLACE(IMPORTXML(""https://nationalbank.kz/rss/get_rates.cfm?fdate=""&amp;TEXT($A10,""DD.MM.YYYY""),D$3),""[.]"","",""),REGEXREPLACE(IMPORTXML(""https://nationalbank.kz/rss/get_rates.cfm?fdate=""&amp;TEXT(TODAY(),""DD.MM.YYYY""),D$3),""[.]"","",""))"),"486,94")</f>
        <v>486,94</v>
      </c>
      <c r="E10" s="33" t="str">
        <f ca="1">IFERROR(__xludf.DUMMYFUNCTION("IFERROR(REGEXREPLACE(IMPORTXML(""https://nationalbank.kz/rss/get_rates.cfm?fdate=""&amp;TEXT($A10,""DD.MM.YYYY""),E$3),""[.]"","",""),REGEXREPLACE(IMPORTXML(""https://nationalbank.kz/rss/get_rates.cfm?fdate=""&amp;TEXT(TODAY(),""DD.MM.YYYY""),E$3),""[.]"","",""))"),"6,45")</f>
        <v>6,45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ht="17.25" x14ac:dyDescent="0.15">
      <c r="A11" s="152">
        <v>44934</v>
      </c>
      <c r="B11" s="33" t="str">
        <f ca="1">IFERROR(__xludf.DUMMYFUNCTION("IFERROR(REGEXREPLACE(IMPORTXML(""https://nationalbank.kz/rss/get_rates.cfm?fdate=""&amp;TEXT($A11,""DD.MM.YYYY""),B$3),""[.]"","",""),REGEXREPLACE(IMPORTXML(""https://nationalbank.kz/rss/get_rates.cfm?fdate=""&amp;TEXT(TODAY(),""DD.MM.YYYY""),B$3),""[.]"","",""))"),"463,31")</f>
        <v>463,31</v>
      </c>
      <c r="C11" s="33" t="str">
        <f ca="1">IFERROR(__xludf.DUMMYFUNCTION("IFERROR(REGEXREPLACE(IMPORTXML(""https://nationalbank.kz/rss/get_rates.cfm?fdate=""&amp;TEXT($A11,""DD.MM.YYYY""),C$3),""[.]"","",""),REGEXREPLACE(IMPORTXML(""https://nationalbank.kz/rss/get_rates.cfm?fdate=""&amp;TEXT(TODAY(),""DD.MM.YYYY""),C$3),""[.]"","",""))"),"67,52")</f>
        <v>67,52</v>
      </c>
      <c r="D11" s="33" t="str">
        <f ca="1">IFERROR(__xludf.DUMMYFUNCTION("IFERROR(REGEXREPLACE(IMPORTXML(""https://nationalbank.kz/rss/get_rates.cfm?fdate=""&amp;TEXT($A11,""DD.MM.YYYY""),D$3),""[.]"","",""),REGEXREPLACE(IMPORTXML(""https://nationalbank.kz/rss/get_rates.cfm?fdate=""&amp;TEXT(TODAY(),""DD.MM.YYYY""),D$3),""[.]"","",""))"),"486,94")</f>
        <v>486,94</v>
      </c>
      <c r="E11" s="33" t="str">
        <f ca="1">IFERROR(__xludf.DUMMYFUNCTION("IFERROR(REGEXREPLACE(IMPORTXML(""https://nationalbank.kz/rss/get_rates.cfm?fdate=""&amp;TEXT($A11,""DD.MM.YYYY""),E$3),""[.]"","",""),REGEXREPLACE(IMPORTXML(""https://nationalbank.kz/rss/get_rates.cfm?fdate=""&amp;TEXT(TODAY(),""DD.MM.YYYY""),E$3),""[.]"","",""))"),"6,45")</f>
        <v>6,45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ht="17.25" x14ac:dyDescent="0.15">
      <c r="A12" s="152">
        <v>44935</v>
      </c>
      <c r="B12" s="33" t="str">
        <f ca="1">IFERROR(__xludf.DUMMYFUNCTION("IFERROR(REGEXREPLACE(IMPORTXML(""https://nationalbank.kz/rss/get_rates.cfm?fdate=""&amp;TEXT($A12,""DD.MM.YYYY""),B$3),""[.]"","",""),REGEXREPLACE(IMPORTXML(""https://nationalbank.kz/rss/get_rates.cfm?fdate=""&amp;TEXT(TODAY(),""DD.MM.YYYY""),B$3),""[.]"","",""))"),"463,31")</f>
        <v>463,31</v>
      </c>
      <c r="C12" s="33" t="str">
        <f ca="1">IFERROR(__xludf.DUMMYFUNCTION("IFERROR(REGEXREPLACE(IMPORTXML(""https://nationalbank.kz/rss/get_rates.cfm?fdate=""&amp;TEXT($A12,""DD.MM.YYYY""),C$3),""[.]"","",""),REGEXREPLACE(IMPORTXML(""https://nationalbank.kz/rss/get_rates.cfm?fdate=""&amp;TEXT(TODAY(),""DD.MM.YYYY""),C$3),""[.]"","",""))"),"67,52")</f>
        <v>67,52</v>
      </c>
      <c r="D12" s="33" t="str">
        <f ca="1">IFERROR(__xludf.DUMMYFUNCTION("IFERROR(REGEXREPLACE(IMPORTXML(""https://nationalbank.kz/rss/get_rates.cfm?fdate=""&amp;TEXT($A12,""DD.MM.YYYY""),D$3),""[.]"","",""),REGEXREPLACE(IMPORTXML(""https://nationalbank.kz/rss/get_rates.cfm?fdate=""&amp;TEXT(TODAY(),""DD.MM.YYYY""),D$3),""[.]"","",""))"),"486,94")</f>
        <v>486,94</v>
      </c>
      <c r="E12" s="33" t="str">
        <f ca="1">IFERROR(__xludf.DUMMYFUNCTION("IFERROR(REGEXREPLACE(IMPORTXML(""https://nationalbank.kz/rss/get_rates.cfm?fdate=""&amp;TEXT($A12,""DD.MM.YYYY""),E$3),""[.]"","",""),REGEXREPLACE(IMPORTXML(""https://nationalbank.kz/rss/get_rates.cfm?fdate=""&amp;TEXT(TODAY(),""DD.MM.YYYY""),E$3),""[.]"","",""))"),"6,45")</f>
        <v>6,45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ht="17.25" x14ac:dyDescent="0.15">
      <c r="A13" s="152">
        <v>44936</v>
      </c>
      <c r="B13" s="33" t="str">
        <f ca="1">IFERROR(__xludf.DUMMYFUNCTION("IFERROR(REGEXREPLACE(IMPORTXML(""https://nationalbank.kz/rss/get_rates.cfm?fdate=""&amp;TEXT($A13,""DD.MM.YYYY""),B$3),""[.]"","",""),REGEXREPLACE(IMPORTXML(""https://nationalbank.kz/rss/get_rates.cfm?fdate=""&amp;TEXT(TODAY(),""DD.MM.YYYY""),B$3),""[.]"","",""))"),"462,49")</f>
        <v>462,49</v>
      </c>
      <c r="C13" s="33" t="str">
        <f ca="1">IFERROR(__xludf.DUMMYFUNCTION("IFERROR(REGEXREPLACE(IMPORTXML(""https://nationalbank.kz/rss/get_rates.cfm?fdate=""&amp;TEXT($A13,""DD.MM.YYYY""),C$3),""[.]"","",""),REGEXREPLACE(IMPORTXML(""https://nationalbank.kz/rss/get_rates.cfm?fdate=""&amp;TEXT(TODAY(),""DD.MM.YYYY""),C$3),""[.]"","",""))"),"68,21")</f>
        <v>68,21</v>
      </c>
      <c r="D13" s="33" t="str">
        <f ca="1">IFERROR(__xludf.DUMMYFUNCTION("IFERROR(REGEXREPLACE(IMPORTXML(""https://nationalbank.kz/rss/get_rates.cfm?fdate=""&amp;TEXT($A13,""DD.MM.YYYY""),D$3),""[.]"","",""),REGEXREPLACE(IMPORTXML(""https://nationalbank.kz/rss/get_rates.cfm?fdate=""&amp;TEXT(TODAY(),""DD.MM.YYYY""),D$3),""[.]"","",""))"),"493,52")</f>
        <v>493,52</v>
      </c>
      <c r="E13" s="33" t="str">
        <f ca="1">IFERROR(__xludf.DUMMYFUNCTION("IFERROR(REGEXREPLACE(IMPORTXML(""https://nationalbank.kz/rss/get_rates.cfm?fdate=""&amp;TEXT($A13,""DD.MM.YYYY""),E$3),""[.]"","",""),REGEXREPLACE(IMPORTXML(""https://nationalbank.kz/rss/get_rates.cfm?fdate=""&amp;TEXT(TODAY(),""DD.MM.YYYY""),E$3),""[.]"","",""))"),"6,65")</f>
        <v>6,65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ht="17.25" x14ac:dyDescent="0.15">
      <c r="A14" s="152">
        <v>44937</v>
      </c>
      <c r="B14" s="33" t="str">
        <f ca="1">IFERROR(__xludf.DUMMYFUNCTION("IFERROR(REGEXREPLACE(IMPORTXML(""https://nationalbank.kz/rss/get_rates.cfm?fdate=""&amp;TEXT($A14,""DD.MM.YYYY""),B$3),""[.]"","",""),REGEXREPLACE(IMPORTXML(""https://nationalbank.kz/rss/get_rates.cfm?fdate=""&amp;TEXT(TODAY(),""DD.MM.YYYY""),B$3),""[.]"","",""))"),"461,84")</f>
        <v>461,84</v>
      </c>
      <c r="C14" s="33" t="str">
        <f ca="1">IFERROR(__xludf.DUMMYFUNCTION("IFERROR(REGEXREPLACE(IMPORTXML(""https://nationalbank.kz/rss/get_rates.cfm?fdate=""&amp;TEXT($A14,""DD.MM.YYYY""),C$3),""[.]"","",""),REGEXREPLACE(IMPORTXML(""https://nationalbank.kz/rss/get_rates.cfm?fdate=""&amp;TEXT(TODAY(),""DD.MM.YYYY""),C$3),""[.]"","",""))"),"68,18")</f>
        <v>68,18</v>
      </c>
      <c r="D14" s="33" t="str">
        <f ca="1">IFERROR(__xludf.DUMMYFUNCTION("IFERROR(REGEXREPLACE(IMPORTXML(""https://nationalbank.kz/rss/get_rates.cfm?fdate=""&amp;TEXT($A14,""DD.MM.YYYY""),D$3),""[.]"","",""),REGEXREPLACE(IMPORTXML(""https://nationalbank.kz/rss/get_rates.cfm?fdate=""&amp;TEXT(TODAY(),""DD.MM.YYYY""),D$3),""[.]"","",""))"),"496,2")</f>
        <v>496,2</v>
      </c>
      <c r="E14" s="33" t="str">
        <f ca="1">IFERROR(__xludf.DUMMYFUNCTION("IFERROR(REGEXREPLACE(IMPORTXML(""https://nationalbank.kz/rss/get_rates.cfm?fdate=""&amp;TEXT($A14,""DD.MM.YYYY""),E$3),""[.]"","",""),REGEXREPLACE(IMPORTXML(""https://nationalbank.kz/rss/get_rates.cfm?fdate=""&amp;TEXT(TODAY(),""DD.MM.YYYY""),E$3),""[.]"","",""))"),"6,65")</f>
        <v>6,65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ht="17.25" x14ac:dyDescent="0.15">
      <c r="A15" s="152">
        <v>44938</v>
      </c>
      <c r="B15" s="33" t="str">
        <f ca="1">IFERROR(__xludf.DUMMYFUNCTION("IFERROR(REGEXREPLACE(IMPORTXML(""https://nationalbank.kz/rss/get_rates.cfm?fdate=""&amp;TEXT($A15,""DD.MM.YYYY""),B$3),""[.]"","",""),REGEXREPLACE(IMPORTXML(""https://nationalbank.kz/rss/get_rates.cfm?fdate=""&amp;TEXT(TODAY(),""DD.MM.YYYY""),B$3),""[.]"","",""))"),"462,2")</f>
        <v>462,2</v>
      </c>
      <c r="C15" s="33" t="str">
        <f ca="1">IFERROR(__xludf.DUMMYFUNCTION("IFERROR(REGEXREPLACE(IMPORTXML(""https://nationalbank.kz/rss/get_rates.cfm?fdate=""&amp;TEXT($A15,""DD.MM.YYYY""),C$3),""[.]"","",""),REGEXREPLACE(IMPORTXML(""https://nationalbank.kz/rss/get_rates.cfm?fdate=""&amp;TEXT(TODAY(),""DD.MM.YYYY""),C$3),""[.]"","",""))"),"68,28")</f>
        <v>68,28</v>
      </c>
      <c r="D15" s="33" t="str">
        <f ca="1">IFERROR(__xludf.DUMMYFUNCTION("IFERROR(REGEXREPLACE(IMPORTXML(""https://nationalbank.kz/rss/get_rates.cfm?fdate=""&amp;TEXT($A15,""DD.MM.YYYY""),D$3),""[.]"","",""),REGEXREPLACE(IMPORTXML(""https://nationalbank.kz/rss/get_rates.cfm?fdate=""&amp;TEXT(TODAY(),""DD.MM.YYYY""),D$3),""[.]"","",""))"),"Loading...")</f>
        <v>Loading...</v>
      </c>
      <c r="E15" s="33" t="str">
        <f ca="1">IFERROR(__xludf.DUMMYFUNCTION("IFERROR(REGEXREPLACE(IMPORTXML(""https://nationalbank.kz/rss/get_rates.cfm?fdate=""&amp;TEXT($A15,""DD.MM.YYYY""),E$3),""[.]"","",""),REGEXREPLACE(IMPORTXML(""https://nationalbank.kz/rss/get_rates.cfm?fdate=""&amp;TEXT(TODAY(),""DD.MM.YYYY""),E$3),""[.]"","",""))"),"6,69")</f>
        <v>6,69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ht="17.25" x14ac:dyDescent="0.15">
      <c r="A16" s="152">
        <v>44939</v>
      </c>
      <c r="B16" s="33" t="str">
        <f ca="1">IFERROR(__xludf.DUMMYFUNCTION("IFERROR(REGEXREPLACE(IMPORTXML(""https://nationalbank.kz/rss/get_rates.cfm?fdate=""&amp;TEXT($A16,""DD.MM.YYYY""),B$3),""[.]"","",""),REGEXREPLACE(IMPORTXML(""https://nationalbank.kz/rss/get_rates.cfm?fdate=""&amp;TEXT(TODAY(),""DD.MM.YYYY""),B$3),""[.]"","",""))"),"462,58")</f>
        <v>462,58</v>
      </c>
      <c r="C16" s="33" t="str">
        <f ca="1">IFERROR(__xludf.DUMMYFUNCTION("IFERROR(REGEXREPLACE(IMPORTXML(""https://nationalbank.kz/rss/get_rates.cfm?fdate=""&amp;TEXT($A16,""DD.MM.YYYY""),C$3),""[.]"","",""),REGEXREPLACE(IMPORTXML(""https://nationalbank.kz/rss/get_rates.cfm?fdate=""&amp;TEXT(TODAY(),""DD.MM.YYYY""),C$3),""[.]"","",""))"),"68,62")</f>
        <v>68,62</v>
      </c>
      <c r="D16" s="33" t="str">
        <f ca="1">IFERROR(__xludf.DUMMYFUNCTION("IFERROR(REGEXREPLACE(IMPORTXML(""https://nationalbank.kz/rss/get_rates.cfm?fdate=""&amp;TEXT($A16,""DD.MM.YYYY""),D$3),""[.]"","",""),REGEXREPLACE(IMPORTXML(""https://nationalbank.kz/rss/get_rates.cfm?fdate=""&amp;TEXT(TODAY(),""DD.MM.YYYY""),D$3),""[.]"","",""))"),"497,92")</f>
        <v>497,92</v>
      </c>
      <c r="E16" s="33" t="str">
        <f ca="1">IFERROR(__xludf.DUMMYFUNCTION("IFERROR(REGEXREPLACE(IMPORTXML(""https://nationalbank.kz/rss/get_rates.cfm?fdate=""&amp;TEXT($A16,""DD.MM.YYYY""),E$3),""[.]"","",""),REGEXREPLACE(IMPORTXML(""https://nationalbank.kz/rss/get_rates.cfm?fdate=""&amp;TEXT(TODAY(),""DD.MM.YYYY""),E$3),""[.]"","",""))"),"6,83")</f>
        <v>6,83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17.25" x14ac:dyDescent="0.15">
      <c r="A17" s="152">
        <v>44940</v>
      </c>
      <c r="B17" s="33" t="str">
        <f ca="1">IFERROR(__xludf.DUMMYFUNCTION("IFERROR(REGEXREPLACE(IMPORTXML(""https://nationalbank.kz/rss/get_rates.cfm?fdate=""&amp;TEXT($A17,""DD.MM.YYYY""),B$3),""[.]"","",""),REGEXREPLACE(IMPORTXML(""https://nationalbank.kz/rss/get_rates.cfm?fdate=""&amp;TEXT(TODAY(),""DD.MM.YYYY""),B$3),""[.]"","",""))"),"462,29")</f>
        <v>462,29</v>
      </c>
      <c r="C17" s="33" t="str">
        <f ca="1">IFERROR(__xludf.DUMMYFUNCTION("IFERROR(REGEXREPLACE(IMPORTXML(""https://nationalbank.kz/rss/get_rates.cfm?fdate=""&amp;TEXT($A17,""DD.MM.YYYY""),C$3),""[.]"","",""),REGEXREPLACE(IMPORTXML(""https://nationalbank.kz/rss/get_rates.cfm?fdate=""&amp;TEXT(TODAY(),""DD.MM.YYYY""),C$3),""[.]"","",""))"),"68,83")</f>
        <v>68,83</v>
      </c>
      <c r="D17" s="33" t="str">
        <f ca="1">IFERROR(__xludf.DUMMYFUNCTION("IFERROR(REGEXREPLACE(IMPORTXML(""https://nationalbank.kz/rss/get_rates.cfm?fdate=""&amp;TEXT($A17,""DD.MM.YYYY""),D$3),""[.]"","",""),REGEXREPLACE(IMPORTXML(""https://nationalbank.kz/rss/get_rates.cfm?fdate=""&amp;TEXT(TODAY(),""DD.MM.YYYY""),D$3),""[.]"","",""))"),"Loading...")</f>
        <v>Loading...</v>
      </c>
      <c r="E17" s="33" t="str">
        <f ca="1">IFERROR(__xludf.DUMMYFUNCTION("IFERROR(REGEXREPLACE(IMPORTXML(""https://nationalbank.kz/rss/get_rates.cfm?fdate=""&amp;TEXT($A17,""DD.MM.YYYY""),E$3),""[.]"","",""),REGEXREPLACE(IMPORTXML(""https://nationalbank.kz/rss/get_rates.cfm?fdate=""&amp;TEXT(TODAY(),""DD.MM.YYYY""),E$3),""[.]"","",""))"),"6,87")</f>
        <v>6,87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ht="17.25" x14ac:dyDescent="0.15">
      <c r="A18" s="152">
        <v>44941</v>
      </c>
      <c r="B18" s="33" t="str">
        <f ca="1">IFERROR(__xludf.DUMMYFUNCTION("IFERROR(REGEXREPLACE(IMPORTXML(""https://nationalbank.kz/rss/get_rates.cfm?fdate=""&amp;TEXT($A18,""DD.MM.YYYY""),B$3),""[.]"","",""),REGEXREPLACE(IMPORTXML(""https://nationalbank.kz/rss/get_rates.cfm?fdate=""&amp;TEXT(TODAY(),""DD.MM.YYYY""),B$3),""[.]"","",""))"),"462,29")</f>
        <v>462,29</v>
      </c>
      <c r="C18" s="33" t="str">
        <f ca="1">IFERROR(__xludf.DUMMYFUNCTION("IFERROR(REGEXREPLACE(IMPORTXML(""https://nationalbank.kz/rss/get_rates.cfm?fdate=""&amp;TEXT($A18,""DD.MM.YYYY""),C$3),""[.]"","",""),REGEXREPLACE(IMPORTXML(""https://nationalbank.kz/rss/get_rates.cfm?fdate=""&amp;TEXT(TODAY(),""DD.MM.YYYY""),C$3),""[.]"","",""))"),"68,83")</f>
        <v>68,83</v>
      </c>
      <c r="D18" s="33" t="str">
        <f ca="1">IFERROR(__xludf.DUMMYFUNCTION("IFERROR(REGEXREPLACE(IMPORTXML(""https://nationalbank.kz/rss/get_rates.cfm?fdate=""&amp;TEXT($A18,""DD.MM.YYYY""),D$3),""[.]"","",""),REGEXREPLACE(IMPORTXML(""https://nationalbank.kz/rss/get_rates.cfm?fdate=""&amp;TEXT(TODAY(),""DD.MM.YYYY""),D$3),""[.]"","",""))"),"Loading...")</f>
        <v>Loading...</v>
      </c>
      <c r="E18" s="33" t="str">
        <f ca="1">IFERROR(__xludf.DUMMYFUNCTION("IFERROR(REGEXREPLACE(IMPORTXML(""https://nationalbank.kz/rss/get_rates.cfm?fdate=""&amp;TEXT($A18,""DD.MM.YYYY""),E$3),""[.]"","",""),REGEXREPLACE(IMPORTXML(""https://nationalbank.kz/rss/get_rates.cfm?fdate=""&amp;TEXT(TODAY(),""DD.MM.YYYY""),E$3),""[.]"","",""))"),"6,87")</f>
        <v>6,87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ht="17.25" x14ac:dyDescent="0.15">
      <c r="A19" s="152">
        <v>44942</v>
      </c>
      <c r="B19" s="33" t="str">
        <f ca="1">IFERROR(__xludf.DUMMYFUNCTION("IFERROR(REGEXREPLACE(IMPORTXML(""https://nationalbank.kz/rss/get_rates.cfm?fdate=""&amp;TEXT($A19,""DD.MM.YYYY""),B$3),""[.]"","",""),REGEXREPLACE(IMPORTXML(""https://nationalbank.kz/rss/get_rates.cfm?fdate=""&amp;TEXT(TODAY(),""DD.MM.YYYY""),B$3),""[.]"","",""))"),"462,29")</f>
        <v>462,29</v>
      </c>
      <c r="C19" s="33" t="str">
        <f ca="1">IFERROR(__xludf.DUMMYFUNCTION("IFERROR(REGEXREPLACE(IMPORTXML(""https://nationalbank.kz/rss/get_rates.cfm?fdate=""&amp;TEXT($A19,""DD.MM.YYYY""),C$3),""[.]"","",""),REGEXREPLACE(IMPORTXML(""https://nationalbank.kz/rss/get_rates.cfm?fdate=""&amp;TEXT(TODAY(),""DD.MM.YYYY""),C$3),""[.]"","",""))"),"68,83")</f>
        <v>68,83</v>
      </c>
      <c r="D19" s="33" t="str">
        <f ca="1">IFERROR(__xludf.DUMMYFUNCTION("IFERROR(REGEXREPLACE(IMPORTXML(""https://nationalbank.kz/rss/get_rates.cfm?fdate=""&amp;TEXT($A19,""DD.MM.YYYY""),D$3),""[.]"","",""),REGEXREPLACE(IMPORTXML(""https://nationalbank.kz/rss/get_rates.cfm?fdate=""&amp;TEXT(TODAY(),""DD.MM.YYYY""),D$3),""[.]"","",""))"),"501,21")</f>
        <v>501,21</v>
      </c>
      <c r="E19" s="33" t="str">
        <f ca="1">IFERROR(__xludf.DUMMYFUNCTION("IFERROR(REGEXREPLACE(IMPORTXML(""https://nationalbank.kz/rss/get_rates.cfm?fdate=""&amp;TEXT($A19,""DD.MM.YYYY""),E$3),""[.]"","",""),REGEXREPLACE(IMPORTXML(""https://nationalbank.kz/rss/get_rates.cfm?fdate=""&amp;TEXT(TODAY(),""DD.MM.YYYY""),E$3),""[.]"","",""))"),"6,87")</f>
        <v>6,87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ht="17.25" x14ac:dyDescent="0.15">
      <c r="A20" s="152">
        <v>44943</v>
      </c>
      <c r="B20" s="33" t="str">
        <f ca="1">IFERROR(__xludf.DUMMYFUNCTION("IFERROR(REGEXREPLACE(IMPORTXML(""https://nationalbank.kz/rss/get_rates.cfm?fdate=""&amp;TEXT($A20,""DD.MM.YYYY""),B$3),""[.]"","",""),REGEXREPLACE(IMPORTXML(""https://nationalbank.kz/rss/get_rates.cfm?fdate=""&amp;TEXT(TODAY(),""DD.MM.YYYY""),B$3),""[.]"","",""))"),"Loading...")</f>
        <v>Loading...</v>
      </c>
      <c r="C20" s="33" t="str">
        <f ca="1">IFERROR(__xludf.DUMMYFUNCTION("IFERROR(REGEXREPLACE(IMPORTXML(""https://nationalbank.kz/rss/get_rates.cfm?fdate=""&amp;TEXT($A20,""DD.MM.YYYY""),C$3),""[.]"","",""),REGEXREPLACE(IMPORTXML(""https://nationalbank.kz/rss/get_rates.cfm?fdate=""&amp;TEXT(TODAY(),""DD.MM.YYYY""),C$3),""[.]"","",""))"),"68,78")</f>
        <v>68,78</v>
      </c>
      <c r="D20" s="33" t="str">
        <f ca="1">IFERROR(__xludf.DUMMYFUNCTION("IFERROR(REGEXREPLACE(IMPORTXML(""https://nationalbank.kz/rss/get_rates.cfm?fdate=""&amp;TEXT($A20,""DD.MM.YYYY""),D$3),""[.]"","",""),REGEXREPLACE(IMPORTXML(""https://nationalbank.kz/rss/get_rates.cfm?fdate=""&amp;TEXT(TODAY(),""DD.MM.YYYY""),D$3),""[.]"","",""))"),"500,63")</f>
        <v>500,63</v>
      </c>
      <c r="E20" s="33" t="str">
        <f ca="1">IFERROR(__xludf.DUMMYFUNCTION("IFERROR(REGEXREPLACE(IMPORTXML(""https://nationalbank.kz/rss/get_rates.cfm?fdate=""&amp;TEXT($A20,""DD.MM.YYYY""),E$3),""[.]"","",""),REGEXREPLACE(IMPORTXML(""https://nationalbank.kz/rss/get_rates.cfm?fdate=""&amp;TEXT(TODAY(),""DD.MM.YYYY""),E$3),""[.]"","",""))"),"6,76")</f>
        <v>6,76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ht="17.25" x14ac:dyDescent="0.15">
      <c r="A21" s="152">
        <v>44944</v>
      </c>
      <c r="B21" s="33" t="str">
        <f ca="1">IFERROR(__xludf.DUMMYFUNCTION("IFERROR(REGEXREPLACE(IMPORTXML(""https://nationalbank.kz/rss/get_rates.cfm?fdate=""&amp;TEXT($A21,""DD.MM.YYYY""),B$3),""[.]"","",""),REGEXREPLACE(IMPORTXML(""https://nationalbank.kz/rss/get_rates.cfm?fdate=""&amp;TEXT(TODAY(),""DD.MM.YYYY""),B$3),""[.]"","",""))"),"Loading...")</f>
        <v>Loading...</v>
      </c>
      <c r="C21" s="33" t="str">
        <f ca="1">IFERROR(__xludf.DUMMYFUNCTION("IFERROR(REGEXREPLACE(IMPORTXML(""https://nationalbank.kz/rss/get_rates.cfm?fdate=""&amp;TEXT($A21,""DD.MM.YYYY""),C$3),""[.]"","",""),REGEXREPLACE(IMPORTXML(""https://nationalbank.kz/rss/get_rates.cfm?fdate=""&amp;TEXT(TODAY(),""DD.MM.YYYY""),C$3),""[.]"","",""))"),"Loading...")</f>
        <v>Loading...</v>
      </c>
      <c r="D21" s="33" t="str">
        <f ca="1">IFERROR(__xludf.DUMMYFUNCTION("IFERROR(REGEXREPLACE(IMPORTXML(""https://nationalbank.kz/rss/get_rates.cfm?fdate=""&amp;TEXT($A21,""DD.MM.YYYY""),D$3),""[.]"","",""),REGEXREPLACE(IMPORTXML(""https://nationalbank.kz/rss/get_rates.cfm?fdate=""&amp;TEXT(TODAY(),""DD.MM.YYYY""),D$3),""[.]"","",""))"),"Loading...")</f>
        <v>Loading...</v>
      </c>
      <c r="E21" s="33" t="str">
        <f ca="1">IFERROR(__xludf.DUMMYFUNCTION("IFERROR(REGEXREPLACE(IMPORTXML(""https://nationalbank.kz/rss/get_rates.cfm?fdate=""&amp;TEXT($A21,""DD.MM.YYYY""),E$3),""[.]"","",""),REGEXREPLACE(IMPORTXML(""https://nationalbank.kz/rss/get_rates.cfm?fdate=""&amp;TEXT(TODAY(),""DD.MM.YYYY""),E$3),""[.]"","",""))"),"Loading...")</f>
        <v>Loading...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ht="17.25" x14ac:dyDescent="0.15">
      <c r="A22" s="152">
        <v>44945</v>
      </c>
      <c r="B22" s="33" t="str">
        <f ca="1">IFERROR(__xludf.DUMMYFUNCTION("IFERROR(REGEXREPLACE(IMPORTXML(""https://nationalbank.kz/rss/get_rates.cfm?fdate=""&amp;TEXT($A22,""DD.MM.YYYY""),B$3),""[.]"","",""),REGEXREPLACE(IMPORTXML(""https://nationalbank.kz/rss/get_rates.cfm?fdate=""&amp;TEXT(TODAY(),""DD.MM.YYYY""),B$3),""[.]"","",""))"),"464,34")</f>
        <v>464,34</v>
      </c>
      <c r="C22" s="33" t="str">
        <f ca="1">IFERROR(__xludf.DUMMYFUNCTION("IFERROR(REGEXREPLACE(IMPORTXML(""https://nationalbank.kz/rss/get_rates.cfm?fdate=""&amp;TEXT($A22,""DD.MM.YYYY""),C$3),""[.]"","",""),REGEXREPLACE(IMPORTXML(""https://nationalbank.kz/rss/get_rates.cfm?fdate=""&amp;TEXT(TODAY(),""DD.MM.YYYY""),C$3),""[.]"","",""))"),"68,78")</f>
        <v>68,78</v>
      </c>
      <c r="D22" s="33" t="str">
        <f ca="1">IFERROR(__xludf.DUMMYFUNCTION("IFERROR(REGEXREPLACE(IMPORTXML(""https://nationalbank.kz/rss/get_rates.cfm?fdate=""&amp;TEXT($A22,""DD.MM.YYYY""),D$3),""[.]"","",""),REGEXREPLACE(IMPORTXML(""https://nationalbank.kz/rss/get_rates.cfm?fdate=""&amp;TEXT(TODAY(),""DD.MM.YYYY""),D$3),""[.]"","",""))"),"Loading...")</f>
        <v>Loading...</v>
      </c>
      <c r="E22" s="33" t="str">
        <f ca="1">IFERROR(__xludf.DUMMYFUNCTION("IFERROR(REGEXREPLACE(IMPORTXML(""https://nationalbank.kz/rss/get_rates.cfm?fdate=""&amp;TEXT($A22,""DD.MM.YYYY""),E$3),""[.]"","",""),REGEXREPLACE(IMPORTXML(""https://nationalbank.kz/rss/get_rates.cfm?fdate=""&amp;TEXT(TODAY(),""DD.MM.YYYY""),E$3),""[.]"","",""))"),"Loading...")</f>
        <v>Loading...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ht="17.25" x14ac:dyDescent="0.15">
      <c r="A23" s="152">
        <v>44946</v>
      </c>
      <c r="B23" s="33" t="str">
        <f ca="1">IFERROR(__xludf.DUMMYFUNCTION("IFERROR(REGEXREPLACE(IMPORTXML(""https://nationalbank.kz/rss/get_rates.cfm?fdate=""&amp;TEXT($A23,""DD.MM.YYYY""),B$3),""[.]"","",""),REGEXREPLACE(IMPORTXML(""https://nationalbank.kz/rss/get_rates.cfm?fdate=""&amp;TEXT(TODAY(),""DD.MM.YYYY""),B$3),""[.]"","",""))"),"Loading...")</f>
        <v>Loading...</v>
      </c>
      <c r="C23" s="33" t="str">
        <f ca="1">IFERROR(__xludf.DUMMYFUNCTION("IFERROR(REGEXREPLACE(IMPORTXML(""https://nationalbank.kz/rss/get_rates.cfm?fdate=""&amp;TEXT($A23,""DD.MM.YYYY""),C$3),""[.]"","",""),REGEXREPLACE(IMPORTXML(""https://nationalbank.kz/rss/get_rates.cfm?fdate=""&amp;TEXT(TODAY(),""DD.MM.YYYY""),C$3),""[.]"","",""))"),"Loading...")</f>
        <v>Loading...</v>
      </c>
      <c r="D23" s="33" t="str">
        <f ca="1">IFERROR(__xludf.DUMMYFUNCTION("IFERROR(REGEXREPLACE(IMPORTXML(""https://nationalbank.kz/rss/get_rates.cfm?fdate=""&amp;TEXT($A23,""DD.MM.YYYY""),D$3),""[.]"","",""),REGEXREPLACE(IMPORTXML(""https://nationalbank.kz/rss/get_rates.cfm?fdate=""&amp;TEXT(TODAY(),""DD.MM.YYYY""),D$3),""[.]"","",""))"),"Loading...")</f>
        <v>Loading...</v>
      </c>
      <c r="E23" s="33" t="str">
        <f ca="1">IFERROR(__xludf.DUMMYFUNCTION("IFERROR(REGEXREPLACE(IMPORTXML(""https://nationalbank.kz/rss/get_rates.cfm?fdate=""&amp;TEXT($A23,""DD.MM.YYYY""),E$3),""[.]"","",""),REGEXREPLACE(IMPORTXML(""https://nationalbank.kz/rss/get_rates.cfm?fdate=""&amp;TEXT(TODAY(),""DD.MM.YYYY""),E$3),""[.]"","",""))"),"Loading...")</f>
        <v>Loading...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ht="17.25" x14ac:dyDescent="0.15">
      <c r="A24" s="152">
        <v>44947</v>
      </c>
      <c r="B24" s="33" t="str">
        <f ca="1">IFERROR(__xludf.DUMMYFUNCTION("IFERROR(REGEXREPLACE(IMPORTXML(""https://nationalbank.kz/rss/get_rates.cfm?fdate=""&amp;TEXT($A24,""DD.MM.YYYY""),B$3),""[.]"","",""),REGEXREPLACE(IMPORTXML(""https://nationalbank.kz/rss/get_rates.cfm?fdate=""&amp;TEXT(TODAY(),""DD.MM.YYYY""),B$3),""[.]"","",""))"),"Loading...")</f>
        <v>Loading...</v>
      </c>
      <c r="C24" s="33" t="str">
        <f ca="1">IFERROR(__xludf.DUMMYFUNCTION("IFERROR(REGEXREPLACE(IMPORTXML(""https://nationalbank.kz/rss/get_rates.cfm?fdate=""&amp;TEXT($A24,""DD.MM.YYYY""),C$3),""[.]"","",""),REGEXREPLACE(IMPORTXML(""https://nationalbank.kz/rss/get_rates.cfm?fdate=""&amp;TEXT(TODAY(),""DD.MM.YYYY""),C$3),""[.]"","",""))"),"Loading...")</f>
        <v>Loading...</v>
      </c>
      <c r="D24" s="33" t="str">
        <f ca="1">IFERROR(__xludf.DUMMYFUNCTION("IFERROR(REGEXREPLACE(IMPORTXML(""https://nationalbank.kz/rss/get_rates.cfm?fdate=""&amp;TEXT($A24,""DD.MM.YYYY""),D$3),""[.]"","",""),REGEXREPLACE(IMPORTXML(""https://nationalbank.kz/rss/get_rates.cfm?fdate=""&amp;TEXT(TODAY(),""DD.MM.YYYY""),D$3),""[.]"","",""))"),"Loading...")</f>
        <v>Loading...</v>
      </c>
      <c r="E24" s="33" t="str">
        <f ca="1">IFERROR(__xludf.DUMMYFUNCTION("IFERROR(REGEXREPLACE(IMPORTXML(""https://nationalbank.kz/rss/get_rates.cfm?fdate=""&amp;TEXT($A24,""DD.MM.YYYY""),E$3),""[.]"","",""),REGEXREPLACE(IMPORTXML(""https://nationalbank.kz/rss/get_rates.cfm?fdate=""&amp;TEXT(TODAY(),""DD.MM.YYYY""),E$3),""[.]"","",""))"),"Loading...")</f>
        <v>Loading...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ht="17.25" x14ac:dyDescent="0.15">
      <c r="A25" s="152">
        <v>44948</v>
      </c>
      <c r="B25" s="33" t="str">
        <f ca="1">IFERROR(__xludf.DUMMYFUNCTION("IFERROR(REGEXREPLACE(IMPORTXML(""https://nationalbank.kz/rss/get_rates.cfm?fdate=""&amp;TEXT($A25,""DD.MM.YYYY""),B$3),""[.]"","",""),REGEXREPLACE(IMPORTXML(""https://nationalbank.kz/rss/get_rates.cfm?fdate=""&amp;TEXT(TODAY(),""DD.MM.YYYY""),B$3),""[.]"","",""))"),"Loading...")</f>
        <v>Loading...</v>
      </c>
      <c r="C25" s="33" t="str">
        <f ca="1">IFERROR(__xludf.DUMMYFUNCTION("IFERROR(REGEXREPLACE(IMPORTXML(""https://nationalbank.kz/rss/get_rates.cfm?fdate=""&amp;TEXT($A25,""DD.MM.YYYY""),C$3),""[.]"","",""),REGEXREPLACE(IMPORTXML(""https://nationalbank.kz/rss/get_rates.cfm?fdate=""&amp;TEXT(TODAY(),""DD.MM.YYYY""),C$3),""[.]"","",""))"),"Loading...")</f>
        <v>Loading...</v>
      </c>
      <c r="D25" s="33" t="str">
        <f ca="1">IFERROR(__xludf.DUMMYFUNCTION("IFERROR(REGEXREPLACE(IMPORTXML(""https://nationalbank.kz/rss/get_rates.cfm?fdate=""&amp;TEXT($A25,""DD.MM.YYYY""),D$3),""[.]"","",""),REGEXREPLACE(IMPORTXML(""https://nationalbank.kz/rss/get_rates.cfm?fdate=""&amp;TEXT(TODAY(),""DD.MM.YYYY""),D$3),""[.]"","",""))"),"Loading...")</f>
        <v>Loading...</v>
      </c>
      <c r="E25" s="33" t="str">
        <f ca="1">IFERROR(__xludf.DUMMYFUNCTION("IFERROR(REGEXREPLACE(IMPORTXML(""https://nationalbank.kz/rss/get_rates.cfm?fdate=""&amp;TEXT($A25,""DD.MM.YYYY""),E$3),""[.]"","",""),REGEXREPLACE(IMPORTXML(""https://nationalbank.kz/rss/get_rates.cfm?fdate=""&amp;TEXT(TODAY(),""DD.MM.YYYY""),E$3),""[.]"","",""))"),"Loading...")</f>
        <v>Loading...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ht="17.25" x14ac:dyDescent="0.15">
      <c r="A26" s="152">
        <v>44949</v>
      </c>
      <c r="B26" s="33" t="str">
        <f ca="1">IFERROR(__xludf.DUMMYFUNCTION("IFERROR(REGEXREPLACE(IMPORTXML(""https://nationalbank.kz/rss/get_rates.cfm?fdate=""&amp;TEXT($A26,""DD.MM.YYYY""),B$3),""[.]"","",""),REGEXREPLACE(IMPORTXML(""https://nationalbank.kz/rss/get_rates.cfm?fdate=""&amp;TEXT(TODAY(),""DD.MM.YYYY""),B$3),""[.]"","",""))"),"Loading...")</f>
        <v>Loading...</v>
      </c>
      <c r="C26" s="33" t="str">
        <f ca="1">IFERROR(__xludf.DUMMYFUNCTION("IFERROR(REGEXREPLACE(IMPORTXML(""https://nationalbank.kz/rss/get_rates.cfm?fdate=""&amp;TEXT($A26,""DD.MM.YYYY""),C$3),""[.]"","",""),REGEXREPLACE(IMPORTXML(""https://nationalbank.kz/rss/get_rates.cfm?fdate=""&amp;TEXT(TODAY(),""DD.MM.YYYY""),C$3),""[.]"","",""))"),"Loading...")</f>
        <v>Loading...</v>
      </c>
      <c r="D26" s="33" t="str">
        <f ca="1">IFERROR(__xludf.DUMMYFUNCTION("IFERROR(REGEXREPLACE(IMPORTXML(""https://nationalbank.kz/rss/get_rates.cfm?fdate=""&amp;TEXT($A26,""DD.MM.YYYY""),D$3),""[.]"","",""),REGEXREPLACE(IMPORTXML(""https://nationalbank.kz/rss/get_rates.cfm?fdate=""&amp;TEXT(TODAY(),""DD.MM.YYYY""),D$3),""[.]"","",""))"),"Loading...")</f>
        <v>Loading...</v>
      </c>
      <c r="E26" s="33" t="str">
        <f ca="1">IFERROR(__xludf.DUMMYFUNCTION("IFERROR(REGEXREPLACE(IMPORTXML(""https://nationalbank.kz/rss/get_rates.cfm?fdate=""&amp;TEXT($A26,""DD.MM.YYYY""),E$3),""[.]"","",""),REGEXREPLACE(IMPORTXML(""https://nationalbank.kz/rss/get_rates.cfm?fdate=""&amp;TEXT(TODAY(),""DD.MM.YYYY""),E$3),""[.]"","",""))"),"6,74")</f>
        <v>6,74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ht="17.25" x14ac:dyDescent="0.15">
      <c r="A27" s="152">
        <v>44950</v>
      </c>
      <c r="B27" s="33" t="str">
        <f ca="1">IFERROR(__xludf.DUMMYFUNCTION("IFERROR(REGEXREPLACE(IMPORTXML(""https://nationalbank.kz/rss/get_rates.cfm?fdate=""&amp;TEXT($A27,""DD.MM.YYYY""),B$3),""[.]"","",""),REGEXREPLACE(IMPORTXML(""https://nationalbank.kz/rss/get_rates.cfm?fdate=""&amp;TEXT(TODAY(),""DD.MM.YYYY""),B$3),""[.]"","",""))"),"Loading...")</f>
        <v>Loading...</v>
      </c>
      <c r="C27" s="33" t="str">
        <f ca="1">IFERROR(__xludf.DUMMYFUNCTION("IFERROR(REGEXREPLACE(IMPORTXML(""https://nationalbank.kz/rss/get_rates.cfm?fdate=""&amp;TEXT($A27,""DD.MM.YYYY""),C$3),""[.]"","",""),REGEXREPLACE(IMPORTXML(""https://nationalbank.kz/rss/get_rates.cfm?fdate=""&amp;TEXT(TODAY(),""DD.MM.YYYY""),C$3),""[.]"","",""))"),"Loading...")</f>
        <v>Loading...</v>
      </c>
      <c r="D27" s="33" t="str">
        <f ca="1">IFERROR(__xludf.DUMMYFUNCTION("IFERROR(REGEXREPLACE(IMPORTXML(""https://nationalbank.kz/rss/get_rates.cfm?fdate=""&amp;TEXT($A27,""DD.MM.YYYY""),D$3),""[.]"","",""),REGEXREPLACE(IMPORTXML(""https://nationalbank.kz/rss/get_rates.cfm?fdate=""&amp;TEXT(TODAY(),""DD.MM.YYYY""),D$3),""[.]"","",""))"),"Loading...")</f>
        <v>Loading...</v>
      </c>
      <c r="E27" s="33" t="str">
        <f ca="1">IFERROR(__xludf.DUMMYFUNCTION("IFERROR(REGEXREPLACE(IMPORTXML(""https://nationalbank.kz/rss/get_rates.cfm?fdate=""&amp;TEXT($A27,""DD.MM.YYYY""),E$3),""[.]"","",""),REGEXREPLACE(IMPORTXML(""https://nationalbank.kz/rss/get_rates.cfm?fdate=""&amp;TEXT(TODAY(),""DD.MM.YYYY""),E$3),""[.]"","",""))"),"Loading...")</f>
        <v>Loading...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ht="17.25" x14ac:dyDescent="0.15">
      <c r="A28" s="152">
        <v>44951</v>
      </c>
      <c r="B28" s="33" t="str">
        <f ca="1">IFERROR(__xludf.DUMMYFUNCTION("IFERROR(REGEXREPLACE(IMPORTXML(""https://nationalbank.kz/rss/get_rates.cfm?fdate=""&amp;TEXT($A28,""DD.MM.YYYY""),B$3),""[.]"","",""),REGEXREPLACE(IMPORTXML(""https://nationalbank.kz/rss/get_rates.cfm?fdate=""&amp;TEXT(TODAY(),""DD.MM.YYYY""),B$3),""[.]"","",""))"),"Loading...")</f>
        <v>Loading...</v>
      </c>
      <c r="C28" s="33" t="str">
        <f ca="1">IFERROR(__xludf.DUMMYFUNCTION("IFERROR(REGEXREPLACE(IMPORTXML(""https://nationalbank.kz/rss/get_rates.cfm?fdate=""&amp;TEXT($A28,""DD.MM.YYYY""),C$3),""[.]"","",""),REGEXREPLACE(IMPORTXML(""https://nationalbank.kz/rss/get_rates.cfm?fdate=""&amp;TEXT(TODAY(),""DD.MM.YYYY""),C$3),""[.]"","",""))"),"Loading...")</f>
        <v>Loading...</v>
      </c>
      <c r="D28" s="33" t="str">
        <f ca="1">IFERROR(__xludf.DUMMYFUNCTION("IFERROR(REGEXREPLACE(IMPORTXML(""https://nationalbank.kz/rss/get_rates.cfm?fdate=""&amp;TEXT($A28,""DD.MM.YYYY""),D$3),""[.]"","",""),REGEXREPLACE(IMPORTXML(""https://nationalbank.kz/rss/get_rates.cfm?fdate=""&amp;TEXT(TODAY(),""DD.MM.YYYY""),D$3),""[.]"","",""))"),"Loading...")</f>
        <v>Loading...</v>
      </c>
      <c r="E28" s="33" t="str">
        <f ca="1">IFERROR(__xludf.DUMMYFUNCTION("IFERROR(REGEXREPLACE(IMPORTXML(""https://nationalbank.kz/rss/get_rates.cfm?fdate=""&amp;TEXT($A28,""DD.MM.YYYY""),E$3),""[.]"","",""),REGEXREPLACE(IMPORTXML(""https://nationalbank.kz/rss/get_rates.cfm?fdate=""&amp;TEXT(TODAY(),""DD.MM.YYYY""),E$3),""[.]"","",""))"),"Loading...")</f>
        <v>Loading...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ht="17.25" x14ac:dyDescent="0.15">
      <c r="A29" s="152">
        <v>44952</v>
      </c>
      <c r="B29" s="33" t="str">
        <f ca="1">IFERROR(__xludf.DUMMYFUNCTION("IFERROR(REGEXREPLACE(IMPORTXML(""https://nationalbank.kz/rss/get_rates.cfm?fdate=""&amp;TEXT($A29,""DD.MM.YYYY""),B$3),""[.]"","",""),REGEXREPLACE(IMPORTXML(""https://nationalbank.kz/rss/get_rates.cfm?fdate=""&amp;TEXT(TODAY(),""DD.MM.YYYY""),B$3),""[.]"","",""))"),"Loading...")</f>
        <v>Loading...</v>
      </c>
      <c r="C29" s="33" t="str">
        <f ca="1">IFERROR(__xludf.DUMMYFUNCTION("IFERROR(REGEXREPLACE(IMPORTXML(""https://nationalbank.kz/rss/get_rates.cfm?fdate=""&amp;TEXT($A29,""DD.MM.YYYY""),C$3),""[.]"","",""),REGEXREPLACE(IMPORTXML(""https://nationalbank.kz/rss/get_rates.cfm?fdate=""&amp;TEXT(TODAY(),""DD.MM.YYYY""),C$3),""[.]"","",""))"),"Loading...")</f>
        <v>Loading...</v>
      </c>
      <c r="D29" s="33" t="str">
        <f ca="1">IFERROR(__xludf.DUMMYFUNCTION("IFERROR(REGEXREPLACE(IMPORTXML(""https://nationalbank.kz/rss/get_rates.cfm?fdate=""&amp;TEXT($A29,""DD.MM.YYYY""),D$3),""[.]"","",""),REGEXREPLACE(IMPORTXML(""https://nationalbank.kz/rss/get_rates.cfm?fdate=""&amp;TEXT(TODAY(),""DD.MM.YYYY""),D$3),""[.]"","",""))"),"Loading...")</f>
        <v>Loading...</v>
      </c>
      <c r="E29" s="33" t="str">
        <f ca="1">IFERROR(__xludf.DUMMYFUNCTION("IFERROR(REGEXREPLACE(IMPORTXML(""https://nationalbank.kz/rss/get_rates.cfm?fdate=""&amp;TEXT($A29,""DD.MM.YYYY""),E$3),""[.]"","",""),REGEXREPLACE(IMPORTXML(""https://nationalbank.kz/rss/get_rates.cfm?fdate=""&amp;TEXT(TODAY(),""DD.MM.YYYY""),E$3),""[.]"","",""))"),"Loading...")</f>
        <v>Loading...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spans="1:26" ht="17.25" x14ac:dyDescent="0.15">
      <c r="A30" s="152">
        <v>44953</v>
      </c>
      <c r="B30" s="33" t="str">
        <f ca="1">IFERROR(__xludf.DUMMYFUNCTION("IFERROR(REGEXREPLACE(IMPORTXML(""https://nationalbank.kz/rss/get_rates.cfm?fdate=""&amp;TEXT($A30,""DD.MM.YYYY""),B$3),""[.]"","",""),REGEXREPLACE(IMPORTXML(""https://nationalbank.kz/rss/get_rates.cfm?fdate=""&amp;TEXT(TODAY(),""DD.MM.YYYY""),B$3),""[.]"","",""))"),"Loading...")</f>
        <v>Loading...</v>
      </c>
      <c r="C30" s="33" t="str">
        <f ca="1">IFERROR(__xludf.DUMMYFUNCTION("IFERROR(REGEXREPLACE(IMPORTXML(""https://nationalbank.kz/rss/get_rates.cfm?fdate=""&amp;TEXT($A30,""DD.MM.YYYY""),C$3),""[.]"","",""),REGEXREPLACE(IMPORTXML(""https://nationalbank.kz/rss/get_rates.cfm?fdate=""&amp;TEXT(TODAY(),""DD.MM.YYYY""),C$3),""[.]"","",""))"),"Loading...")</f>
        <v>Loading...</v>
      </c>
      <c r="D30" s="33" t="str">
        <f ca="1">IFERROR(__xludf.DUMMYFUNCTION("IFERROR(REGEXREPLACE(IMPORTXML(""https://nationalbank.kz/rss/get_rates.cfm?fdate=""&amp;TEXT($A30,""DD.MM.YYYY""),D$3),""[.]"","",""),REGEXREPLACE(IMPORTXML(""https://nationalbank.kz/rss/get_rates.cfm?fdate=""&amp;TEXT(TODAY(),""DD.MM.YYYY""),D$3),""[.]"","",""))"),"Loading...")</f>
        <v>Loading...</v>
      </c>
      <c r="E30" s="33" t="str">
        <f ca="1">IFERROR(__xludf.DUMMYFUNCTION("IFERROR(REGEXREPLACE(IMPORTXML(""https://nationalbank.kz/rss/get_rates.cfm?fdate=""&amp;TEXT($A30,""DD.MM.YYYY""),E$3),""[.]"","",""),REGEXREPLACE(IMPORTXML(""https://nationalbank.kz/rss/get_rates.cfm?fdate=""&amp;TEXT(TODAY(),""DD.MM.YYYY""),E$3),""[.]"","",""))"),"Loading...")</f>
        <v>Loading...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ht="17.25" x14ac:dyDescent="0.15">
      <c r="A31" s="152">
        <v>44954</v>
      </c>
      <c r="B31" s="33" t="str">
        <f ca="1">IFERROR(__xludf.DUMMYFUNCTION("IFERROR(REGEXREPLACE(IMPORTXML(""https://nationalbank.kz/rss/get_rates.cfm?fdate=""&amp;TEXT($A31,""DD.MM.YYYY""),B$3),""[.]"","",""),REGEXREPLACE(IMPORTXML(""https://nationalbank.kz/rss/get_rates.cfm?fdate=""&amp;TEXT(TODAY(),""DD.MM.YYYY""),B$3),""[.]"","",""))"),"Loading...")</f>
        <v>Loading...</v>
      </c>
      <c r="C31" s="33" t="str">
        <f ca="1">IFERROR(__xludf.DUMMYFUNCTION("IFERROR(REGEXREPLACE(IMPORTXML(""https://nationalbank.kz/rss/get_rates.cfm?fdate=""&amp;TEXT($A31,""DD.MM.YYYY""),C$3),""[.]"","",""),REGEXREPLACE(IMPORTXML(""https://nationalbank.kz/rss/get_rates.cfm?fdate=""&amp;TEXT(TODAY(),""DD.MM.YYYY""),C$3),""[.]"","",""))"),"Loading...")</f>
        <v>Loading...</v>
      </c>
      <c r="D31" s="33" t="str">
        <f ca="1">IFERROR(__xludf.DUMMYFUNCTION("IFERROR(REGEXREPLACE(IMPORTXML(""https://nationalbank.kz/rss/get_rates.cfm?fdate=""&amp;TEXT($A31,""DD.MM.YYYY""),D$3),""[.]"","",""),REGEXREPLACE(IMPORTXML(""https://nationalbank.kz/rss/get_rates.cfm?fdate=""&amp;TEXT(TODAY(),""DD.MM.YYYY""),D$3),""[.]"","",""))"),"Loading...")</f>
        <v>Loading...</v>
      </c>
      <c r="E31" s="33" t="str">
        <f ca="1">IFERROR(__xludf.DUMMYFUNCTION("IFERROR(REGEXREPLACE(IMPORTXML(""https://nationalbank.kz/rss/get_rates.cfm?fdate=""&amp;TEXT($A31,""DD.MM.YYYY""),E$3),""[.]"","",""),REGEXREPLACE(IMPORTXML(""https://nationalbank.kz/rss/get_rates.cfm?fdate=""&amp;TEXT(TODAY(),""DD.MM.YYYY""),E$3),""[.]"","",""))"),"Loading...")</f>
        <v>Loading...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ht="17.25" x14ac:dyDescent="0.15">
      <c r="A32" s="152">
        <v>44955</v>
      </c>
      <c r="B32" s="33" t="str">
        <f ca="1">IFERROR(__xludf.DUMMYFUNCTION("IFERROR(REGEXREPLACE(IMPORTXML(""https://nationalbank.kz/rss/get_rates.cfm?fdate=""&amp;TEXT($A32,""DD.MM.YYYY""),B$3),""[.]"","",""),REGEXREPLACE(IMPORTXML(""https://nationalbank.kz/rss/get_rates.cfm?fdate=""&amp;TEXT(TODAY(),""DD.MM.YYYY""),B$3),""[.]"","",""))"),"Loading...")</f>
        <v>Loading...</v>
      </c>
      <c r="C32" s="33" t="str">
        <f ca="1">IFERROR(__xludf.DUMMYFUNCTION("IFERROR(REGEXREPLACE(IMPORTXML(""https://nationalbank.kz/rss/get_rates.cfm?fdate=""&amp;TEXT($A32,""DD.MM.YYYY""),C$3),""[.]"","",""),REGEXREPLACE(IMPORTXML(""https://nationalbank.kz/rss/get_rates.cfm?fdate=""&amp;TEXT(TODAY(),""DD.MM.YYYY""),C$3),""[.]"","",""))"),"Loading...")</f>
        <v>Loading...</v>
      </c>
      <c r="D32" s="33" t="str">
        <f ca="1">IFERROR(__xludf.DUMMYFUNCTION("IFERROR(REGEXREPLACE(IMPORTXML(""https://nationalbank.kz/rss/get_rates.cfm?fdate=""&amp;TEXT($A32,""DD.MM.YYYY""),D$3),""[.]"","",""),REGEXREPLACE(IMPORTXML(""https://nationalbank.kz/rss/get_rates.cfm?fdate=""&amp;TEXT(TODAY(),""DD.MM.YYYY""),D$3),""[.]"","",""))"),"Loading...")</f>
        <v>Loading...</v>
      </c>
      <c r="E32" s="33" t="str">
        <f ca="1">IFERROR(__xludf.DUMMYFUNCTION("IFERROR(REGEXREPLACE(IMPORTXML(""https://nationalbank.kz/rss/get_rates.cfm?fdate=""&amp;TEXT($A32,""DD.MM.YYYY""),E$3),""[.]"","",""),REGEXREPLACE(IMPORTXML(""https://nationalbank.kz/rss/get_rates.cfm?fdate=""&amp;TEXT(TODAY(),""DD.MM.YYYY""),E$3),""[.]"","",""))"),"Loading...")</f>
        <v>Loading...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6" ht="17.25" x14ac:dyDescent="0.15">
      <c r="A33" s="152">
        <v>44956</v>
      </c>
      <c r="B33" s="33" t="str">
        <f ca="1">IFERROR(__xludf.DUMMYFUNCTION("IFERROR(REGEXREPLACE(IMPORTXML(""https://nationalbank.kz/rss/get_rates.cfm?fdate=""&amp;TEXT($A33,""DD.MM.YYYY""),B$3),""[.]"","",""),REGEXREPLACE(IMPORTXML(""https://nationalbank.kz/rss/get_rates.cfm?fdate=""&amp;TEXT(TODAY(),""DD.MM.YYYY""),B$3),""[.]"","",""))"),"Loading...")</f>
        <v>Loading...</v>
      </c>
      <c r="C33" s="33" t="str">
        <f ca="1">IFERROR(__xludf.DUMMYFUNCTION("IFERROR(REGEXREPLACE(IMPORTXML(""https://nationalbank.kz/rss/get_rates.cfm?fdate=""&amp;TEXT($A33,""DD.MM.YYYY""),C$3),""[.]"","",""),REGEXREPLACE(IMPORTXML(""https://nationalbank.kz/rss/get_rates.cfm?fdate=""&amp;TEXT(TODAY(),""DD.MM.YYYY""),C$3),""[.]"","",""))"),"Loading...")</f>
        <v>Loading...</v>
      </c>
      <c r="D33" s="33" t="str">
        <f ca="1">IFERROR(__xludf.DUMMYFUNCTION("IFERROR(REGEXREPLACE(IMPORTXML(""https://nationalbank.kz/rss/get_rates.cfm?fdate=""&amp;TEXT($A33,""DD.MM.YYYY""),D$3),""[.]"","",""),REGEXREPLACE(IMPORTXML(""https://nationalbank.kz/rss/get_rates.cfm?fdate=""&amp;TEXT(TODAY(),""DD.MM.YYYY""),D$3),""[.]"","",""))"),"Loading...")</f>
        <v>Loading...</v>
      </c>
      <c r="E33" s="33" t="str">
        <f ca="1">IFERROR(__xludf.DUMMYFUNCTION("IFERROR(REGEXREPLACE(IMPORTXML(""https://nationalbank.kz/rss/get_rates.cfm?fdate=""&amp;TEXT($A33,""DD.MM.YYYY""),E$3),""[.]"","",""),REGEXREPLACE(IMPORTXML(""https://nationalbank.kz/rss/get_rates.cfm?fdate=""&amp;TEXT(TODAY(),""DD.MM.YYYY""),E$3),""[.]"","",""))"),"Loading...")</f>
        <v>Loading...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 ht="17.25" x14ac:dyDescent="0.15">
      <c r="A34" s="152">
        <v>44957</v>
      </c>
      <c r="B34" s="33" t="str">
        <f ca="1">IFERROR(__xludf.DUMMYFUNCTION("IFERROR(REGEXREPLACE(IMPORTXML(""https://nationalbank.kz/rss/get_rates.cfm?fdate=""&amp;TEXT($A34,""DD.MM.YYYY""),B$3),""[.]"","",""),REGEXREPLACE(IMPORTXML(""https://nationalbank.kz/rss/get_rates.cfm?fdate=""&amp;TEXT(TODAY(),""DD.MM.YYYY""),B$3),""[.]"","",""))"),"Loading...")</f>
        <v>Loading...</v>
      </c>
      <c r="C34" s="33" t="str">
        <f ca="1">IFERROR(__xludf.DUMMYFUNCTION("IFERROR(REGEXREPLACE(IMPORTXML(""https://nationalbank.kz/rss/get_rates.cfm?fdate=""&amp;TEXT($A34,""DD.MM.YYYY""),C$3),""[.]"","",""),REGEXREPLACE(IMPORTXML(""https://nationalbank.kz/rss/get_rates.cfm?fdate=""&amp;TEXT(TODAY(),""DD.MM.YYYY""),C$3),""[.]"","",""))"),"Loading...")</f>
        <v>Loading...</v>
      </c>
      <c r="D34" s="33" t="str">
        <f ca="1">IFERROR(__xludf.DUMMYFUNCTION("IFERROR(REGEXREPLACE(IMPORTXML(""https://nationalbank.kz/rss/get_rates.cfm?fdate=""&amp;TEXT($A34,""DD.MM.YYYY""),D$3),""[.]"","",""),REGEXREPLACE(IMPORTXML(""https://nationalbank.kz/rss/get_rates.cfm?fdate=""&amp;TEXT(TODAY(),""DD.MM.YYYY""),D$3),""[.]"","",""))"),"Loading...")</f>
        <v>Loading...</v>
      </c>
      <c r="E34" s="33" t="str">
        <f ca="1">IFERROR(__xludf.DUMMYFUNCTION("IFERROR(REGEXREPLACE(IMPORTXML(""https://nationalbank.kz/rss/get_rates.cfm?fdate=""&amp;TEXT($A34,""DD.MM.YYYY""),E$3),""[.]"","",""),REGEXREPLACE(IMPORTXML(""https://nationalbank.kz/rss/get_rates.cfm?fdate=""&amp;TEXT(TODAY(),""DD.MM.YYYY""),E$3),""[.]"","",""))"),"Loading...")</f>
        <v>Loading...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 ht="12.75" x14ac:dyDescent="0.1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ht="12.75" x14ac:dyDescent="0.1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ht="12.75" x14ac:dyDescent="0.1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  <row r="38" spans="1:26" ht="12.75" x14ac:dyDescent="0.1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spans="1:26" ht="12.75" x14ac:dyDescent="0.1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spans="1:26" ht="12.75" x14ac:dyDescent="0.1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spans="1:26" ht="12.75" x14ac:dyDescent="0.1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 ht="12.75" x14ac:dyDescent="0.1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spans="1:26" ht="12.75" x14ac:dyDescent="0.1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26" ht="12.75" x14ac:dyDescent="0.1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spans="1:26" ht="12.75" x14ac:dyDescent="0.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spans="1:26" ht="12.75" x14ac:dyDescent="0.1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1:26" ht="12.75" x14ac:dyDescent="0.1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spans="1:26" ht="12.75" x14ac:dyDescent="0.1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</row>
    <row r="49" spans="1:26" ht="12.75" x14ac:dyDescent="0.1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spans="1:26" ht="12.75" x14ac:dyDescent="0.1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</row>
    <row r="51" spans="1:26" ht="12.75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2.75" x14ac:dyDescent="0.1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2.75" x14ac:dyDescent="0.1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12.75" x14ac:dyDescent="0.1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</row>
    <row r="55" spans="1:26" ht="12.75" x14ac:dyDescent="0.1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</row>
    <row r="56" spans="1:26" ht="12.75" x14ac:dyDescent="0.1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26" ht="12.75" x14ac:dyDescent="0.1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</row>
    <row r="58" spans="1:26" ht="12.75" x14ac:dyDescent="0.1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spans="1:26" ht="12.75" x14ac:dyDescent="0.1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</row>
    <row r="60" spans="1:26" ht="12.75" x14ac:dyDescent="0.1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</row>
    <row r="61" spans="1:26" ht="12.75" x14ac:dyDescent="0.1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</row>
    <row r="62" spans="1:26" ht="12.75" x14ac:dyDescent="0.1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</row>
    <row r="63" spans="1:26" ht="12.75" x14ac:dyDescent="0.1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</row>
    <row r="64" spans="1:26" ht="12.75" x14ac:dyDescent="0.1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</row>
    <row r="65" spans="1:26" ht="12.75" x14ac:dyDescent="0.1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</row>
    <row r="66" spans="1:26" ht="12.75" x14ac:dyDescent="0.1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</row>
    <row r="67" spans="1:26" ht="12.75" x14ac:dyDescent="0.1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</row>
    <row r="68" spans="1:26" ht="12.75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</row>
    <row r="69" spans="1:26" ht="12.75" x14ac:dyDescent="0.1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</row>
    <row r="70" spans="1:26" ht="12.75" x14ac:dyDescent="0.1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</row>
    <row r="71" spans="1:26" ht="12.75" x14ac:dyDescent="0.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</row>
    <row r="72" spans="1:26" ht="12.75" x14ac:dyDescent="0.1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3" spans="1:26" ht="12.75" x14ac:dyDescent="0.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1:26" ht="12.75" x14ac:dyDescent="0.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 ht="12.75" x14ac:dyDescent="0.1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</row>
    <row r="76" spans="1:26" ht="12.75" x14ac:dyDescent="0.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</row>
    <row r="77" spans="1:26" ht="12.75" x14ac:dyDescent="0.1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ht="12.75" x14ac:dyDescent="0.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</row>
    <row r="79" spans="1:26" ht="12.75" x14ac:dyDescent="0.1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1:26" ht="12.75" x14ac:dyDescent="0.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1:26" ht="12.75" x14ac:dyDescent="0.1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spans="1:26" ht="12.75" x14ac:dyDescent="0.1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</row>
    <row r="83" spans="1:26" ht="12.75" x14ac:dyDescent="0.1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</row>
    <row r="84" spans="1:26" ht="12.75" x14ac:dyDescent="0.1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</row>
    <row r="85" spans="1:26" ht="12.75" x14ac:dyDescent="0.1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</row>
    <row r="86" spans="1:26" ht="12.75" x14ac:dyDescent="0.1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</row>
    <row r="87" spans="1:26" ht="12.75" x14ac:dyDescent="0.1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</row>
    <row r="88" spans="1:26" ht="12.75" x14ac:dyDescent="0.1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</row>
    <row r="89" spans="1:26" ht="12.75" x14ac:dyDescent="0.1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</row>
    <row r="90" spans="1:26" ht="12.75" x14ac:dyDescent="0.1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</row>
    <row r="91" spans="1:26" ht="12.75" x14ac:dyDescent="0.1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</row>
    <row r="92" spans="1:26" ht="12.75" x14ac:dyDescent="0.1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</row>
    <row r="93" spans="1:26" ht="12.75" x14ac:dyDescent="0.1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</row>
    <row r="94" spans="1:26" ht="12.75" x14ac:dyDescent="0.1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</row>
    <row r="95" spans="1:26" ht="12.75" x14ac:dyDescent="0.1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</row>
    <row r="96" spans="1:26" ht="12.75" x14ac:dyDescent="0.1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</row>
    <row r="97" spans="1:26" ht="12.75" x14ac:dyDescent="0.1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</row>
    <row r="98" spans="1:26" ht="12.75" x14ac:dyDescent="0.1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</row>
    <row r="99" spans="1:26" ht="12.75" x14ac:dyDescent="0.1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</row>
    <row r="100" spans="1:26" ht="12.75" x14ac:dyDescent="0.1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</row>
    <row r="101" spans="1:26" ht="12.75" x14ac:dyDescent="0.1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</row>
    <row r="102" spans="1:26" ht="12.75" x14ac:dyDescent="0.1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</row>
    <row r="103" spans="1:26" ht="12.75" x14ac:dyDescent="0.1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</row>
    <row r="104" spans="1:26" ht="12.75" x14ac:dyDescent="0.1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</row>
    <row r="105" spans="1:26" ht="12.75" x14ac:dyDescent="0.1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</row>
    <row r="106" spans="1:26" ht="12.75" x14ac:dyDescent="0.1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</row>
    <row r="107" spans="1:26" ht="12.75" x14ac:dyDescent="0.1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</row>
    <row r="108" spans="1:26" ht="12.75" x14ac:dyDescent="0.1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</row>
    <row r="109" spans="1:26" ht="12.75" x14ac:dyDescent="0.1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</row>
    <row r="110" spans="1:26" ht="12.75" x14ac:dyDescent="0.1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</row>
    <row r="111" spans="1:26" ht="12.75" x14ac:dyDescent="0.1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</row>
    <row r="112" spans="1:26" ht="12.75" x14ac:dyDescent="0.1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</row>
    <row r="113" spans="1:26" ht="12.75" x14ac:dyDescent="0.1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</row>
    <row r="114" spans="1:26" ht="12.75" x14ac:dyDescent="0.1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</row>
    <row r="115" spans="1:26" ht="12.75" x14ac:dyDescent="0.1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</row>
    <row r="116" spans="1:26" ht="12.75" x14ac:dyDescent="0.1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</row>
    <row r="117" spans="1:26" ht="12.75" x14ac:dyDescent="0.1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</row>
    <row r="118" spans="1:26" ht="12.75" x14ac:dyDescent="0.1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</row>
    <row r="119" spans="1:26" ht="12.75" x14ac:dyDescent="0.1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</row>
    <row r="120" spans="1:26" ht="12.75" x14ac:dyDescent="0.1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</row>
    <row r="121" spans="1:26" ht="12.75" x14ac:dyDescent="0.1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</row>
    <row r="122" spans="1:26" ht="12.75" x14ac:dyDescent="0.1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</row>
    <row r="123" spans="1:26" ht="12.75" x14ac:dyDescent="0.1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</row>
    <row r="124" spans="1:26" ht="12.75" x14ac:dyDescent="0.1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</row>
    <row r="125" spans="1:26" ht="12.75" x14ac:dyDescent="0.1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</row>
    <row r="126" spans="1:26" ht="12.75" x14ac:dyDescent="0.1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</row>
    <row r="127" spans="1:26" ht="12.75" x14ac:dyDescent="0.1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</row>
    <row r="128" spans="1:26" ht="12.75" x14ac:dyDescent="0.1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</row>
    <row r="129" spans="1:26" ht="12.75" x14ac:dyDescent="0.1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</row>
    <row r="130" spans="1:26" ht="12.75" x14ac:dyDescent="0.1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</row>
    <row r="131" spans="1:26" ht="12.75" x14ac:dyDescent="0.1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</row>
    <row r="132" spans="1:26" ht="12.75" x14ac:dyDescent="0.1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</row>
    <row r="133" spans="1:26" ht="12.75" x14ac:dyDescent="0.1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</row>
    <row r="134" spans="1:26" ht="12.75" x14ac:dyDescent="0.1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</row>
    <row r="135" spans="1:26" ht="12.75" x14ac:dyDescent="0.1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</row>
    <row r="136" spans="1:26" ht="12.75" x14ac:dyDescent="0.1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</row>
    <row r="137" spans="1:26" ht="12.75" x14ac:dyDescent="0.1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</row>
    <row r="138" spans="1:26" ht="12.75" x14ac:dyDescent="0.1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</row>
    <row r="139" spans="1:26" ht="12.75" x14ac:dyDescent="0.1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</row>
    <row r="140" spans="1:26" ht="12.75" x14ac:dyDescent="0.1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</row>
    <row r="141" spans="1:26" ht="12.75" x14ac:dyDescent="0.1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</row>
    <row r="142" spans="1:26" ht="12.75" x14ac:dyDescent="0.1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</row>
    <row r="143" spans="1:26" ht="12.75" x14ac:dyDescent="0.1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</row>
    <row r="144" spans="1:26" ht="12.75" x14ac:dyDescent="0.1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</row>
    <row r="145" spans="1:26" ht="12.75" x14ac:dyDescent="0.1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</row>
    <row r="146" spans="1:26" ht="12.75" x14ac:dyDescent="0.1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</row>
    <row r="147" spans="1:26" ht="12.75" x14ac:dyDescent="0.1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</row>
    <row r="148" spans="1:26" ht="12.75" x14ac:dyDescent="0.1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</row>
    <row r="149" spans="1:26" ht="12.75" x14ac:dyDescent="0.1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</row>
    <row r="150" spans="1:26" ht="12.75" x14ac:dyDescent="0.1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</row>
    <row r="151" spans="1:26" ht="12.75" x14ac:dyDescent="0.1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</row>
    <row r="152" spans="1:26" ht="12.75" x14ac:dyDescent="0.1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</row>
    <row r="153" spans="1:26" ht="12.75" x14ac:dyDescent="0.1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</row>
    <row r="154" spans="1:26" ht="12.75" x14ac:dyDescent="0.1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</row>
    <row r="155" spans="1:26" ht="12.75" x14ac:dyDescent="0.1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</row>
    <row r="156" spans="1:26" ht="12.75" x14ac:dyDescent="0.1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</row>
    <row r="157" spans="1:26" ht="12.75" x14ac:dyDescent="0.1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</row>
    <row r="158" spans="1:26" ht="12.75" x14ac:dyDescent="0.1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</row>
    <row r="159" spans="1:26" ht="12.75" x14ac:dyDescent="0.1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</row>
    <row r="160" spans="1:26" ht="12.75" x14ac:dyDescent="0.1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</row>
    <row r="161" spans="1:26" ht="12.75" x14ac:dyDescent="0.1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</row>
    <row r="162" spans="1:26" ht="12.75" x14ac:dyDescent="0.1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</row>
    <row r="163" spans="1:26" ht="12.75" x14ac:dyDescent="0.1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</row>
    <row r="164" spans="1:26" ht="12.75" x14ac:dyDescent="0.1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</row>
    <row r="165" spans="1:26" ht="12.75" x14ac:dyDescent="0.1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</row>
    <row r="166" spans="1:26" ht="12.75" x14ac:dyDescent="0.1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</row>
    <row r="167" spans="1:26" ht="12.75" x14ac:dyDescent="0.1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</row>
    <row r="168" spans="1:26" ht="12.75" x14ac:dyDescent="0.1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</row>
    <row r="169" spans="1:26" ht="12.75" x14ac:dyDescent="0.1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</row>
    <row r="170" spans="1:26" ht="12.75" x14ac:dyDescent="0.1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</row>
    <row r="171" spans="1:26" ht="12.75" x14ac:dyDescent="0.1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</row>
    <row r="172" spans="1:26" ht="12.75" x14ac:dyDescent="0.1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</row>
    <row r="173" spans="1:26" ht="12.75" x14ac:dyDescent="0.1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</row>
    <row r="174" spans="1:26" ht="12.75" x14ac:dyDescent="0.1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</row>
    <row r="175" spans="1:26" ht="12.75" x14ac:dyDescent="0.1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</row>
    <row r="176" spans="1:26" ht="12.75" x14ac:dyDescent="0.1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</row>
    <row r="177" spans="1:26" ht="12.75" x14ac:dyDescent="0.1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</row>
    <row r="178" spans="1:26" ht="12.75" x14ac:dyDescent="0.1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</row>
    <row r="179" spans="1:26" ht="12.75" x14ac:dyDescent="0.1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</row>
    <row r="180" spans="1:26" ht="12.75" x14ac:dyDescent="0.1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</row>
    <row r="181" spans="1:26" ht="12.75" x14ac:dyDescent="0.1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</row>
    <row r="182" spans="1:26" ht="12.75" x14ac:dyDescent="0.1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</row>
    <row r="183" spans="1:26" ht="12.75" x14ac:dyDescent="0.1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</row>
    <row r="184" spans="1:26" ht="12.75" x14ac:dyDescent="0.1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</row>
    <row r="185" spans="1:26" ht="12.75" x14ac:dyDescent="0.1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</row>
    <row r="186" spans="1:26" ht="12.75" x14ac:dyDescent="0.1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</row>
    <row r="187" spans="1:26" ht="12.75" x14ac:dyDescent="0.1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</row>
    <row r="188" spans="1:26" ht="12.75" x14ac:dyDescent="0.1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</row>
    <row r="189" spans="1:26" ht="12.75" x14ac:dyDescent="0.1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</row>
    <row r="190" spans="1:26" ht="12.75" x14ac:dyDescent="0.1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</row>
    <row r="191" spans="1:26" ht="12.75" x14ac:dyDescent="0.1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</row>
    <row r="192" spans="1:26" ht="12.75" x14ac:dyDescent="0.1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</row>
    <row r="193" spans="1:26" ht="12.75" x14ac:dyDescent="0.1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</row>
    <row r="194" spans="1:26" ht="12.75" x14ac:dyDescent="0.1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</row>
    <row r="195" spans="1:26" ht="12.75" x14ac:dyDescent="0.1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</row>
    <row r="196" spans="1:26" ht="12.75" x14ac:dyDescent="0.1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</row>
    <row r="197" spans="1:26" ht="12.75" x14ac:dyDescent="0.1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</row>
    <row r="198" spans="1:26" ht="12.75" x14ac:dyDescent="0.1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</row>
    <row r="199" spans="1:26" ht="12.75" x14ac:dyDescent="0.1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</row>
    <row r="200" spans="1:26" ht="12.75" x14ac:dyDescent="0.1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</row>
    <row r="201" spans="1:26" ht="12.75" x14ac:dyDescent="0.1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</row>
    <row r="202" spans="1:26" ht="12.75" x14ac:dyDescent="0.1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</row>
    <row r="203" spans="1:26" ht="12.75" x14ac:dyDescent="0.1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</row>
    <row r="204" spans="1:26" ht="12.75" x14ac:dyDescent="0.1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</row>
    <row r="205" spans="1:26" ht="12.75" x14ac:dyDescent="0.1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</row>
    <row r="206" spans="1:26" ht="12.75" x14ac:dyDescent="0.1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</row>
    <row r="207" spans="1:26" ht="12.75" x14ac:dyDescent="0.1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</row>
    <row r="208" spans="1:26" ht="12.75" x14ac:dyDescent="0.1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</row>
    <row r="209" spans="1:26" ht="12.75" x14ac:dyDescent="0.1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</row>
    <row r="210" spans="1:26" ht="12.75" x14ac:dyDescent="0.1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</row>
    <row r="211" spans="1:26" ht="12.75" x14ac:dyDescent="0.1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</row>
    <row r="212" spans="1:26" ht="12.75" x14ac:dyDescent="0.1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</row>
    <row r="213" spans="1:26" ht="12.75" x14ac:dyDescent="0.1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</row>
    <row r="214" spans="1:26" ht="12.75" x14ac:dyDescent="0.1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</row>
    <row r="215" spans="1:26" ht="12.75" x14ac:dyDescent="0.1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</row>
    <row r="216" spans="1:26" ht="12.75" x14ac:dyDescent="0.1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</row>
    <row r="217" spans="1:26" ht="12.75" x14ac:dyDescent="0.1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</row>
    <row r="218" spans="1:26" ht="12.75" x14ac:dyDescent="0.1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</row>
    <row r="219" spans="1:26" ht="12.75" x14ac:dyDescent="0.1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</row>
    <row r="220" spans="1:26" ht="12.75" x14ac:dyDescent="0.1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</row>
    <row r="221" spans="1:26" ht="12.75" x14ac:dyDescent="0.1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</row>
    <row r="222" spans="1:26" ht="12.75" x14ac:dyDescent="0.1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</row>
    <row r="223" spans="1:26" ht="12.75" x14ac:dyDescent="0.1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</row>
    <row r="224" spans="1:26" ht="12.75" x14ac:dyDescent="0.1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</row>
    <row r="225" spans="1:26" ht="12.75" x14ac:dyDescent="0.1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</row>
    <row r="226" spans="1:26" ht="12.75" x14ac:dyDescent="0.1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</row>
    <row r="227" spans="1:26" ht="12.75" x14ac:dyDescent="0.1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</row>
    <row r="228" spans="1:26" ht="12.75" x14ac:dyDescent="0.1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</row>
    <row r="229" spans="1:26" ht="12.75" x14ac:dyDescent="0.1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</row>
    <row r="230" spans="1:26" ht="12.75" x14ac:dyDescent="0.1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</row>
    <row r="231" spans="1:26" ht="12.75" x14ac:dyDescent="0.1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</row>
    <row r="232" spans="1:26" ht="12.75" x14ac:dyDescent="0.1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</row>
    <row r="233" spans="1:26" ht="12.75" x14ac:dyDescent="0.1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</row>
    <row r="234" spans="1:26" ht="12.75" x14ac:dyDescent="0.1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</row>
    <row r="235" spans="1:26" ht="12.75" x14ac:dyDescent="0.1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</row>
    <row r="236" spans="1:26" ht="12.75" x14ac:dyDescent="0.1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</row>
    <row r="237" spans="1:26" ht="12.75" x14ac:dyDescent="0.1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</row>
    <row r="238" spans="1:26" ht="12.75" x14ac:dyDescent="0.1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</row>
    <row r="239" spans="1:26" ht="12.75" x14ac:dyDescent="0.1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</row>
    <row r="240" spans="1:26" ht="12.75" x14ac:dyDescent="0.1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</row>
    <row r="241" spans="1:26" ht="12.75" x14ac:dyDescent="0.1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</row>
    <row r="242" spans="1:26" ht="12.75" x14ac:dyDescent="0.1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</row>
    <row r="243" spans="1:26" ht="12.75" x14ac:dyDescent="0.1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</row>
    <row r="244" spans="1:26" ht="12.75" x14ac:dyDescent="0.1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</row>
    <row r="245" spans="1:26" ht="12.75" x14ac:dyDescent="0.1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</row>
    <row r="246" spans="1:26" ht="12.75" x14ac:dyDescent="0.1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</row>
    <row r="247" spans="1:26" ht="12.75" x14ac:dyDescent="0.1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</row>
    <row r="248" spans="1:26" ht="12.75" x14ac:dyDescent="0.1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</row>
    <row r="249" spans="1:26" ht="12.75" x14ac:dyDescent="0.1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</row>
    <row r="250" spans="1:26" ht="12.75" x14ac:dyDescent="0.1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</row>
    <row r="251" spans="1:26" ht="12.75" x14ac:dyDescent="0.1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</row>
    <row r="252" spans="1:26" ht="12.75" x14ac:dyDescent="0.1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</row>
    <row r="253" spans="1:26" ht="12.75" x14ac:dyDescent="0.1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</row>
    <row r="254" spans="1:26" ht="12.75" x14ac:dyDescent="0.1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</row>
    <row r="255" spans="1:26" ht="12.75" x14ac:dyDescent="0.1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</row>
    <row r="256" spans="1:26" ht="12.75" x14ac:dyDescent="0.1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</row>
    <row r="257" spans="1:26" ht="12.75" x14ac:dyDescent="0.1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</row>
    <row r="258" spans="1:26" ht="12.75" x14ac:dyDescent="0.1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</row>
    <row r="259" spans="1:26" ht="12.75" x14ac:dyDescent="0.1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</row>
    <row r="260" spans="1:26" ht="12.75" x14ac:dyDescent="0.1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</row>
    <row r="261" spans="1:26" ht="12.75" x14ac:dyDescent="0.1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</row>
    <row r="262" spans="1:26" ht="12.75" x14ac:dyDescent="0.1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</row>
    <row r="263" spans="1:26" ht="12.75" x14ac:dyDescent="0.1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</row>
    <row r="264" spans="1:26" ht="12.75" x14ac:dyDescent="0.1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</row>
    <row r="265" spans="1:26" ht="12.75" x14ac:dyDescent="0.1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</row>
    <row r="266" spans="1:26" ht="12.75" x14ac:dyDescent="0.1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</row>
    <row r="267" spans="1:26" ht="12.75" x14ac:dyDescent="0.1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</row>
    <row r="268" spans="1:26" ht="12.75" x14ac:dyDescent="0.1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</row>
    <row r="269" spans="1:26" ht="12.75" x14ac:dyDescent="0.1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</row>
    <row r="270" spans="1:26" ht="12.75" x14ac:dyDescent="0.1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</row>
    <row r="271" spans="1:26" ht="12.75" x14ac:dyDescent="0.1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</row>
    <row r="272" spans="1:26" ht="12.75" x14ac:dyDescent="0.1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</row>
    <row r="273" spans="1:26" ht="12.75" x14ac:dyDescent="0.1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</row>
    <row r="274" spans="1:26" ht="12.75" x14ac:dyDescent="0.1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</row>
    <row r="275" spans="1:26" ht="12.75" x14ac:dyDescent="0.1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</row>
    <row r="276" spans="1:26" ht="12.75" x14ac:dyDescent="0.1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</row>
    <row r="277" spans="1:26" ht="12.75" x14ac:dyDescent="0.1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</row>
    <row r="278" spans="1:26" ht="12.75" x14ac:dyDescent="0.1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</row>
    <row r="279" spans="1:26" ht="12.75" x14ac:dyDescent="0.1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</row>
    <row r="280" spans="1:26" ht="12.75" x14ac:dyDescent="0.1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</row>
    <row r="281" spans="1:26" ht="12.75" x14ac:dyDescent="0.1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</row>
    <row r="282" spans="1:26" ht="12.75" x14ac:dyDescent="0.1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</row>
    <row r="283" spans="1:26" ht="12.75" x14ac:dyDescent="0.1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</row>
    <row r="284" spans="1:26" ht="12.75" x14ac:dyDescent="0.1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</row>
    <row r="285" spans="1:26" ht="12.75" x14ac:dyDescent="0.1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</row>
    <row r="286" spans="1:26" ht="12.75" x14ac:dyDescent="0.1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</row>
    <row r="287" spans="1:26" ht="12.75" x14ac:dyDescent="0.1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</row>
    <row r="288" spans="1:26" ht="12.75" x14ac:dyDescent="0.1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</row>
    <row r="289" spans="1:26" ht="12.75" x14ac:dyDescent="0.1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</row>
    <row r="290" spans="1:26" ht="12.75" x14ac:dyDescent="0.1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</row>
    <row r="291" spans="1:26" ht="12.75" x14ac:dyDescent="0.1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</row>
    <row r="292" spans="1:26" ht="12.75" x14ac:dyDescent="0.1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</row>
    <row r="293" spans="1:26" ht="12.75" x14ac:dyDescent="0.1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</row>
    <row r="294" spans="1:26" ht="12.75" x14ac:dyDescent="0.1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</row>
    <row r="295" spans="1:26" ht="12.75" x14ac:dyDescent="0.1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</row>
    <row r="296" spans="1:26" ht="12.75" x14ac:dyDescent="0.1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</row>
    <row r="297" spans="1:26" ht="12.75" x14ac:dyDescent="0.1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</row>
    <row r="298" spans="1:26" ht="12.75" x14ac:dyDescent="0.1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</row>
    <row r="299" spans="1:26" ht="12.75" x14ac:dyDescent="0.1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</row>
    <row r="300" spans="1:26" ht="12.75" x14ac:dyDescent="0.1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</row>
    <row r="301" spans="1:26" ht="12.75" x14ac:dyDescent="0.1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</row>
    <row r="302" spans="1:26" ht="12.75" x14ac:dyDescent="0.1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</row>
    <row r="303" spans="1:26" ht="12.75" x14ac:dyDescent="0.1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</row>
    <row r="304" spans="1:26" ht="12.75" x14ac:dyDescent="0.1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</row>
    <row r="305" spans="1:26" ht="12.75" x14ac:dyDescent="0.1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</row>
    <row r="306" spans="1:26" ht="12.75" x14ac:dyDescent="0.1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</row>
    <row r="307" spans="1:26" ht="12.75" x14ac:dyDescent="0.1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</row>
    <row r="308" spans="1:26" ht="12.75" x14ac:dyDescent="0.1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</row>
    <row r="309" spans="1:26" ht="12.75" x14ac:dyDescent="0.1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</row>
    <row r="310" spans="1:26" ht="12.75" x14ac:dyDescent="0.1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</row>
    <row r="311" spans="1:26" ht="12.75" x14ac:dyDescent="0.1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</row>
    <row r="312" spans="1:26" ht="12.75" x14ac:dyDescent="0.1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</row>
    <row r="313" spans="1:26" ht="12.75" x14ac:dyDescent="0.1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</row>
    <row r="314" spans="1:26" ht="12.75" x14ac:dyDescent="0.1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</row>
    <row r="315" spans="1:26" ht="12.75" x14ac:dyDescent="0.1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</row>
    <row r="316" spans="1:26" ht="12.75" x14ac:dyDescent="0.1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</row>
    <row r="317" spans="1:26" ht="12.75" x14ac:dyDescent="0.1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</row>
    <row r="318" spans="1:26" ht="12.75" x14ac:dyDescent="0.1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</row>
    <row r="319" spans="1:26" ht="12.75" x14ac:dyDescent="0.1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</row>
    <row r="320" spans="1:26" ht="12.75" x14ac:dyDescent="0.1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</row>
    <row r="321" spans="1:26" ht="12.75" x14ac:dyDescent="0.1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</row>
    <row r="322" spans="1:26" ht="12.75" x14ac:dyDescent="0.1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</row>
    <row r="323" spans="1:26" ht="12.75" x14ac:dyDescent="0.1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</row>
    <row r="324" spans="1:26" ht="12.75" x14ac:dyDescent="0.1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</row>
    <row r="325" spans="1:26" ht="12.75" x14ac:dyDescent="0.1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</row>
    <row r="326" spans="1:26" ht="12.75" x14ac:dyDescent="0.1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</row>
    <row r="327" spans="1:26" ht="12.75" x14ac:dyDescent="0.1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</row>
    <row r="328" spans="1:26" ht="12.75" x14ac:dyDescent="0.1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</row>
    <row r="329" spans="1:26" ht="12.75" x14ac:dyDescent="0.1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</row>
    <row r="330" spans="1:26" ht="12.75" x14ac:dyDescent="0.1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</row>
    <row r="331" spans="1:26" ht="12.75" x14ac:dyDescent="0.1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</row>
    <row r="332" spans="1:26" ht="12.75" x14ac:dyDescent="0.1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</row>
    <row r="333" spans="1:26" ht="12.75" x14ac:dyDescent="0.1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</row>
    <row r="334" spans="1:26" ht="12.75" x14ac:dyDescent="0.1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</row>
    <row r="335" spans="1:26" ht="12.75" x14ac:dyDescent="0.1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</row>
    <row r="336" spans="1:26" ht="12.75" x14ac:dyDescent="0.1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</row>
    <row r="337" spans="1:26" ht="12.75" x14ac:dyDescent="0.1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</row>
    <row r="338" spans="1:26" ht="12.75" x14ac:dyDescent="0.1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</row>
    <row r="339" spans="1:26" ht="12.75" x14ac:dyDescent="0.1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</row>
    <row r="340" spans="1:26" ht="12.75" x14ac:dyDescent="0.1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</row>
    <row r="341" spans="1:26" ht="12.75" x14ac:dyDescent="0.1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</row>
    <row r="342" spans="1:26" ht="12.75" x14ac:dyDescent="0.1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</row>
    <row r="343" spans="1:26" ht="12.75" x14ac:dyDescent="0.1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</row>
    <row r="344" spans="1:26" ht="12.75" x14ac:dyDescent="0.1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</row>
    <row r="345" spans="1:26" ht="12.75" x14ac:dyDescent="0.1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</row>
    <row r="346" spans="1:26" ht="12.75" x14ac:dyDescent="0.1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</row>
    <row r="347" spans="1:26" ht="12.75" x14ac:dyDescent="0.1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</row>
    <row r="348" spans="1:26" ht="12.75" x14ac:dyDescent="0.1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</row>
    <row r="349" spans="1:26" ht="12.75" x14ac:dyDescent="0.1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</row>
    <row r="350" spans="1:26" ht="12.75" x14ac:dyDescent="0.1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</row>
    <row r="351" spans="1:26" ht="12.75" x14ac:dyDescent="0.1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</row>
    <row r="352" spans="1:26" ht="12.75" x14ac:dyDescent="0.1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</row>
    <row r="353" spans="1:26" ht="12.75" x14ac:dyDescent="0.1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</row>
    <row r="354" spans="1:26" ht="12.75" x14ac:dyDescent="0.1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</row>
    <row r="355" spans="1:26" ht="12.75" x14ac:dyDescent="0.1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</row>
    <row r="356" spans="1:26" ht="12.75" x14ac:dyDescent="0.1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</row>
    <row r="357" spans="1:26" ht="12.75" x14ac:dyDescent="0.1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</row>
    <row r="358" spans="1:26" ht="12.75" x14ac:dyDescent="0.1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</row>
    <row r="359" spans="1:26" ht="12.75" x14ac:dyDescent="0.1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</row>
    <row r="360" spans="1:26" ht="12.75" x14ac:dyDescent="0.1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</row>
    <row r="361" spans="1:26" ht="12.75" x14ac:dyDescent="0.1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</row>
    <row r="362" spans="1:26" ht="12.75" x14ac:dyDescent="0.1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</row>
    <row r="363" spans="1:26" ht="12.75" x14ac:dyDescent="0.1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</row>
    <row r="364" spans="1:26" ht="12.75" x14ac:dyDescent="0.1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</row>
    <row r="365" spans="1:26" ht="12.75" x14ac:dyDescent="0.1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</row>
    <row r="366" spans="1:26" ht="12.75" x14ac:dyDescent="0.1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</row>
    <row r="367" spans="1:26" ht="12.75" x14ac:dyDescent="0.1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</row>
    <row r="368" spans="1:26" ht="12.75" x14ac:dyDescent="0.1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</row>
    <row r="369" spans="1:26" ht="12.75" x14ac:dyDescent="0.1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</row>
    <row r="370" spans="1:26" ht="12.75" x14ac:dyDescent="0.1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</row>
    <row r="371" spans="1:26" ht="12.75" x14ac:dyDescent="0.1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</row>
    <row r="372" spans="1:26" ht="12.75" x14ac:dyDescent="0.1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</row>
    <row r="373" spans="1:26" ht="12.75" x14ac:dyDescent="0.1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</row>
    <row r="374" spans="1:26" ht="12.75" x14ac:dyDescent="0.1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</row>
    <row r="375" spans="1:26" ht="12.75" x14ac:dyDescent="0.1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</row>
    <row r="376" spans="1:26" ht="12.75" x14ac:dyDescent="0.1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</row>
    <row r="377" spans="1:26" ht="12.75" x14ac:dyDescent="0.1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</row>
    <row r="378" spans="1:26" ht="12.75" x14ac:dyDescent="0.1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</row>
    <row r="379" spans="1:26" ht="12.75" x14ac:dyDescent="0.1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</row>
    <row r="380" spans="1:26" ht="12.75" x14ac:dyDescent="0.1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</row>
    <row r="381" spans="1:26" ht="12.75" x14ac:dyDescent="0.1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</row>
    <row r="382" spans="1:26" ht="12.75" x14ac:dyDescent="0.1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</row>
    <row r="383" spans="1:26" ht="12.75" x14ac:dyDescent="0.1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</row>
    <row r="384" spans="1:26" ht="12.75" x14ac:dyDescent="0.1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</row>
    <row r="385" spans="1:26" ht="12.75" x14ac:dyDescent="0.1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</row>
    <row r="386" spans="1:26" ht="12.75" x14ac:dyDescent="0.1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</row>
    <row r="387" spans="1:26" ht="12.75" x14ac:dyDescent="0.1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</row>
    <row r="388" spans="1:26" ht="12.75" x14ac:dyDescent="0.1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</row>
    <row r="389" spans="1:26" ht="12.75" x14ac:dyDescent="0.1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</row>
    <row r="390" spans="1:26" ht="12.75" x14ac:dyDescent="0.1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</row>
    <row r="391" spans="1:26" ht="12.75" x14ac:dyDescent="0.1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</row>
    <row r="392" spans="1:26" ht="12.75" x14ac:dyDescent="0.1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</row>
    <row r="393" spans="1:26" ht="12.75" x14ac:dyDescent="0.1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</row>
    <row r="394" spans="1:26" ht="12.75" x14ac:dyDescent="0.1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</row>
    <row r="395" spans="1:26" ht="12.75" x14ac:dyDescent="0.1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</row>
    <row r="396" spans="1:26" ht="12.75" x14ac:dyDescent="0.1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</row>
    <row r="397" spans="1:26" ht="12.75" x14ac:dyDescent="0.1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</row>
    <row r="398" spans="1:26" ht="12.75" x14ac:dyDescent="0.1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</row>
    <row r="399" spans="1:26" ht="12.75" x14ac:dyDescent="0.1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</row>
    <row r="400" spans="1:26" ht="12.75" x14ac:dyDescent="0.1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</row>
    <row r="401" spans="1:26" ht="12.75" x14ac:dyDescent="0.1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</row>
    <row r="402" spans="1:26" ht="12.75" x14ac:dyDescent="0.1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</row>
    <row r="403" spans="1:26" ht="12.75" x14ac:dyDescent="0.1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</row>
    <row r="404" spans="1:26" ht="12.75" x14ac:dyDescent="0.1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</row>
    <row r="405" spans="1:26" ht="12.75" x14ac:dyDescent="0.1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</row>
    <row r="406" spans="1:26" ht="12.75" x14ac:dyDescent="0.1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</row>
    <row r="407" spans="1:26" ht="12.75" x14ac:dyDescent="0.1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</row>
    <row r="408" spans="1:26" ht="12.75" x14ac:dyDescent="0.1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</row>
    <row r="409" spans="1:26" ht="12.75" x14ac:dyDescent="0.1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</row>
    <row r="410" spans="1:26" ht="12.75" x14ac:dyDescent="0.1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</row>
    <row r="411" spans="1:26" ht="12.75" x14ac:dyDescent="0.1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</row>
    <row r="412" spans="1:26" ht="12.75" x14ac:dyDescent="0.1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</row>
    <row r="413" spans="1:26" ht="12.75" x14ac:dyDescent="0.1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</row>
    <row r="414" spans="1:26" ht="12.75" x14ac:dyDescent="0.1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</row>
    <row r="415" spans="1:26" ht="12.75" x14ac:dyDescent="0.1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</row>
    <row r="416" spans="1:26" ht="12.75" x14ac:dyDescent="0.1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</row>
    <row r="417" spans="1:26" ht="12.75" x14ac:dyDescent="0.1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</row>
    <row r="418" spans="1:26" ht="12.75" x14ac:dyDescent="0.1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</row>
    <row r="419" spans="1:26" ht="12.75" x14ac:dyDescent="0.1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</row>
    <row r="420" spans="1:26" ht="12.75" x14ac:dyDescent="0.1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</row>
    <row r="421" spans="1:26" ht="12.75" x14ac:dyDescent="0.1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</row>
    <row r="422" spans="1:26" ht="12.75" x14ac:dyDescent="0.1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</row>
    <row r="423" spans="1:26" ht="12.75" x14ac:dyDescent="0.1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</row>
    <row r="424" spans="1:26" ht="12.75" x14ac:dyDescent="0.1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</row>
    <row r="425" spans="1:26" ht="12.75" x14ac:dyDescent="0.1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</row>
    <row r="426" spans="1:26" ht="12.75" x14ac:dyDescent="0.1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</row>
    <row r="427" spans="1:26" ht="12.75" x14ac:dyDescent="0.1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</row>
    <row r="428" spans="1:26" ht="12.75" x14ac:dyDescent="0.1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</row>
    <row r="429" spans="1:26" ht="12.75" x14ac:dyDescent="0.1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</row>
    <row r="430" spans="1:26" ht="12.75" x14ac:dyDescent="0.1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</row>
    <row r="431" spans="1:26" ht="12.75" x14ac:dyDescent="0.1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</row>
    <row r="432" spans="1:26" ht="12.75" x14ac:dyDescent="0.1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</row>
    <row r="433" spans="1:26" ht="12.75" x14ac:dyDescent="0.1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</row>
    <row r="434" spans="1:26" ht="12.75" x14ac:dyDescent="0.1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</row>
    <row r="435" spans="1:26" ht="12.75" x14ac:dyDescent="0.1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</row>
    <row r="436" spans="1:26" ht="12.75" x14ac:dyDescent="0.1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</row>
    <row r="437" spans="1:26" ht="12.75" x14ac:dyDescent="0.1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</row>
    <row r="438" spans="1:26" ht="12.75" x14ac:dyDescent="0.1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</row>
    <row r="439" spans="1:26" ht="12.75" x14ac:dyDescent="0.1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</row>
    <row r="440" spans="1:26" ht="12.75" x14ac:dyDescent="0.1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</row>
    <row r="441" spans="1:26" ht="12.75" x14ac:dyDescent="0.1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</row>
    <row r="442" spans="1:26" ht="12.75" x14ac:dyDescent="0.1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</row>
    <row r="443" spans="1:26" ht="12.75" x14ac:dyDescent="0.1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</row>
    <row r="444" spans="1:26" ht="12.75" x14ac:dyDescent="0.1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</row>
    <row r="445" spans="1:26" ht="12.75" x14ac:dyDescent="0.1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</row>
    <row r="446" spans="1:26" ht="12.75" x14ac:dyDescent="0.1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</row>
    <row r="447" spans="1:26" ht="12.75" x14ac:dyDescent="0.1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</row>
    <row r="448" spans="1:26" ht="12.75" x14ac:dyDescent="0.1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</row>
    <row r="449" spans="1:26" ht="12.75" x14ac:dyDescent="0.1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</row>
    <row r="450" spans="1:26" ht="12.75" x14ac:dyDescent="0.15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</row>
    <row r="451" spans="1:26" ht="12.75" x14ac:dyDescent="0.15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</row>
    <row r="452" spans="1:26" ht="12.75" x14ac:dyDescent="0.15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</row>
    <row r="453" spans="1:26" ht="12.75" x14ac:dyDescent="0.15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</row>
    <row r="454" spans="1:26" ht="12.75" x14ac:dyDescent="0.15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</row>
    <row r="455" spans="1:26" ht="12.75" x14ac:dyDescent="0.15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</row>
    <row r="456" spans="1:26" ht="12.75" x14ac:dyDescent="0.15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</row>
    <row r="457" spans="1:26" ht="12.75" x14ac:dyDescent="0.15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</row>
    <row r="458" spans="1:26" ht="12.75" x14ac:dyDescent="0.15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</row>
    <row r="459" spans="1:26" ht="12.75" x14ac:dyDescent="0.15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</row>
    <row r="460" spans="1:26" ht="12.75" x14ac:dyDescent="0.15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</row>
    <row r="461" spans="1:26" ht="12.75" x14ac:dyDescent="0.15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</row>
    <row r="462" spans="1:26" ht="12.75" x14ac:dyDescent="0.15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</row>
    <row r="463" spans="1:26" ht="12.75" x14ac:dyDescent="0.15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</row>
    <row r="464" spans="1:26" ht="12.75" x14ac:dyDescent="0.15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</row>
    <row r="465" spans="1:26" ht="12.75" x14ac:dyDescent="0.15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</row>
    <row r="466" spans="1:26" ht="12.75" x14ac:dyDescent="0.15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</row>
    <row r="467" spans="1:26" ht="12.75" x14ac:dyDescent="0.15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</row>
    <row r="468" spans="1:26" ht="12.75" x14ac:dyDescent="0.15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</row>
    <row r="469" spans="1:26" ht="12.75" x14ac:dyDescent="0.15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</row>
    <row r="470" spans="1:26" ht="12.75" x14ac:dyDescent="0.15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</row>
    <row r="471" spans="1:26" ht="12.75" x14ac:dyDescent="0.15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</row>
    <row r="472" spans="1:26" ht="12.75" x14ac:dyDescent="0.15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</row>
    <row r="473" spans="1:26" ht="12.75" x14ac:dyDescent="0.15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</row>
    <row r="474" spans="1:26" ht="12.75" x14ac:dyDescent="0.15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</row>
    <row r="475" spans="1:26" ht="12.75" x14ac:dyDescent="0.15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</row>
    <row r="476" spans="1:26" ht="12.75" x14ac:dyDescent="0.15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</row>
    <row r="477" spans="1:26" ht="12.75" x14ac:dyDescent="0.15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</row>
    <row r="478" spans="1:26" ht="12.75" x14ac:dyDescent="0.15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</row>
    <row r="479" spans="1:26" ht="12.75" x14ac:dyDescent="0.15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</row>
    <row r="480" spans="1:26" ht="12.75" x14ac:dyDescent="0.15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</row>
    <row r="481" spans="1:26" ht="12.75" x14ac:dyDescent="0.15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</row>
    <row r="482" spans="1:26" ht="12.75" x14ac:dyDescent="0.15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</row>
    <row r="483" spans="1:26" ht="12.75" x14ac:dyDescent="0.1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</row>
    <row r="484" spans="1:26" ht="12.75" x14ac:dyDescent="0.15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</row>
    <row r="485" spans="1:26" ht="12.75" x14ac:dyDescent="0.15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</row>
    <row r="486" spans="1:26" ht="12.75" x14ac:dyDescent="0.15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</row>
    <row r="487" spans="1:26" ht="12.75" x14ac:dyDescent="0.15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</row>
    <row r="488" spans="1:26" ht="12.75" x14ac:dyDescent="0.15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</row>
    <row r="489" spans="1:26" ht="12.75" x14ac:dyDescent="0.15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</row>
    <row r="490" spans="1:26" ht="12.75" x14ac:dyDescent="0.15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</row>
    <row r="491" spans="1:26" ht="12.75" x14ac:dyDescent="0.15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</row>
    <row r="492" spans="1:26" ht="12.75" x14ac:dyDescent="0.15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</row>
    <row r="493" spans="1:26" ht="12.75" x14ac:dyDescent="0.15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</row>
    <row r="494" spans="1:26" ht="12.75" x14ac:dyDescent="0.15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</row>
    <row r="495" spans="1:26" ht="12.75" x14ac:dyDescent="0.15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</row>
    <row r="496" spans="1:26" ht="12.75" x14ac:dyDescent="0.15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</row>
    <row r="497" spans="1:26" ht="12.75" x14ac:dyDescent="0.15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</row>
    <row r="498" spans="1:26" ht="12.75" x14ac:dyDescent="0.15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</row>
    <row r="499" spans="1:26" ht="12.75" x14ac:dyDescent="0.15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</row>
    <row r="500" spans="1:26" ht="12.75" x14ac:dyDescent="0.15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</row>
    <row r="501" spans="1:26" ht="12.75" x14ac:dyDescent="0.15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</row>
    <row r="502" spans="1:26" ht="12.75" x14ac:dyDescent="0.15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</row>
    <row r="503" spans="1:26" ht="12.75" x14ac:dyDescent="0.15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</row>
    <row r="504" spans="1:26" ht="12.75" x14ac:dyDescent="0.15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</row>
    <row r="505" spans="1:26" ht="12.75" x14ac:dyDescent="0.15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</row>
    <row r="506" spans="1:26" ht="12.75" x14ac:dyDescent="0.15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</row>
    <row r="507" spans="1:26" ht="12.75" x14ac:dyDescent="0.15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</row>
    <row r="508" spans="1:26" ht="12.75" x14ac:dyDescent="0.15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</row>
    <row r="509" spans="1:26" ht="12.75" x14ac:dyDescent="0.15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</row>
    <row r="510" spans="1:26" ht="12.75" x14ac:dyDescent="0.15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</row>
    <row r="511" spans="1:26" ht="12.75" x14ac:dyDescent="0.15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</row>
    <row r="512" spans="1:26" ht="12.75" x14ac:dyDescent="0.15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</row>
    <row r="513" spans="1:26" ht="12.75" x14ac:dyDescent="0.15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</row>
    <row r="514" spans="1:26" ht="12.75" x14ac:dyDescent="0.15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</row>
    <row r="515" spans="1:26" ht="12.75" x14ac:dyDescent="0.15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</row>
    <row r="516" spans="1:26" ht="12.75" x14ac:dyDescent="0.15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</row>
    <row r="517" spans="1:26" ht="12.75" x14ac:dyDescent="0.15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</row>
    <row r="518" spans="1:26" ht="12.75" x14ac:dyDescent="0.1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</row>
    <row r="519" spans="1:26" ht="12.75" x14ac:dyDescent="0.1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</row>
    <row r="520" spans="1:26" ht="12.75" x14ac:dyDescent="0.1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</row>
    <row r="521" spans="1:26" ht="12.75" x14ac:dyDescent="0.15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</row>
    <row r="522" spans="1:26" ht="12.75" x14ac:dyDescent="0.15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</row>
    <row r="523" spans="1:26" ht="12.75" x14ac:dyDescent="0.15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</row>
    <row r="524" spans="1:26" ht="12.75" x14ac:dyDescent="0.15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</row>
    <row r="525" spans="1:26" ht="12.75" x14ac:dyDescent="0.15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</row>
    <row r="526" spans="1:26" ht="12.75" x14ac:dyDescent="0.15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</row>
    <row r="527" spans="1:26" ht="12.75" x14ac:dyDescent="0.15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</row>
    <row r="528" spans="1:26" ht="12.75" x14ac:dyDescent="0.15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</row>
    <row r="529" spans="1:26" ht="12.75" x14ac:dyDescent="0.15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</row>
    <row r="530" spans="1:26" ht="12.75" x14ac:dyDescent="0.15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</row>
    <row r="531" spans="1:26" ht="12.75" x14ac:dyDescent="0.15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</row>
    <row r="532" spans="1:26" ht="12.75" x14ac:dyDescent="0.15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</row>
    <row r="533" spans="1:26" ht="12.75" x14ac:dyDescent="0.15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</row>
    <row r="534" spans="1:26" ht="12.75" x14ac:dyDescent="0.15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</row>
    <row r="535" spans="1:26" ht="12.75" x14ac:dyDescent="0.15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</row>
    <row r="536" spans="1:26" ht="12.75" x14ac:dyDescent="0.15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</row>
    <row r="537" spans="1:26" ht="12.75" x14ac:dyDescent="0.15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</row>
    <row r="538" spans="1:26" ht="12.75" x14ac:dyDescent="0.15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</row>
    <row r="539" spans="1:26" ht="12.75" x14ac:dyDescent="0.15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</row>
    <row r="540" spans="1:26" ht="12.75" x14ac:dyDescent="0.15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</row>
    <row r="541" spans="1:26" ht="12.75" x14ac:dyDescent="0.15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</row>
    <row r="542" spans="1:26" ht="12.75" x14ac:dyDescent="0.15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</row>
    <row r="543" spans="1:26" ht="12.75" x14ac:dyDescent="0.15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</row>
    <row r="544" spans="1:26" ht="12.75" x14ac:dyDescent="0.15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</row>
    <row r="545" spans="1:26" ht="12.75" x14ac:dyDescent="0.15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</row>
    <row r="546" spans="1:26" ht="12.75" x14ac:dyDescent="0.15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</row>
    <row r="547" spans="1:26" ht="12.75" x14ac:dyDescent="0.15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</row>
    <row r="548" spans="1:26" ht="12.75" x14ac:dyDescent="0.15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</row>
    <row r="549" spans="1:26" ht="12.75" x14ac:dyDescent="0.15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</row>
    <row r="550" spans="1:26" ht="12.75" x14ac:dyDescent="0.15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</row>
    <row r="551" spans="1:26" ht="12.75" x14ac:dyDescent="0.15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</row>
    <row r="552" spans="1:26" ht="12.75" x14ac:dyDescent="0.15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</row>
    <row r="553" spans="1:26" ht="12.75" x14ac:dyDescent="0.15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</row>
    <row r="554" spans="1:26" ht="12.75" x14ac:dyDescent="0.15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</row>
    <row r="555" spans="1:26" ht="12.75" x14ac:dyDescent="0.15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</row>
    <row r="556" spans="1:26" ht="12.75" x14ac:dyDescent="0.15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</row>
    <row r="557" spans="1:26" ht="12.75" x14ac:dyDescent="0.15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</row>
    <row r="558" spans="1:26" ht="12.75" x14ac:dyDescent="0.15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</row>
    <row r="559" spans="1:26" ht="12.75" x14ac:dyDescent="0.15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</row>
    <row r="560" spans="1:26" ht="12.75" x14ac:dyDescent="0.15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</row>
    <row r="561" spans="1:26" ht="12.75" x14ac:dyDescent="0.15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</row>
    <row r="562" spans="1:26" ht="12.75" x14ac:dyDescent="0.15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</row>
    <row r="563" spans="1:26" ht="12.75" x14ac:dyDescent="0.15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</row>
    <row r="564" spans="1:26" ht="12.75" x14ac:dyDescent="0.15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</row>
    <row r="565" spans="1:26" ht="12.75" x14ac:dyDescent="0.15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</row>
    <row r="566" spans="1:26" ht="12.75" x14ac:dyDescent="0.15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</row>
    <row r="567" spans="1:26" ht="12.75" x14ac:dyDescent="0.15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</row>
    <row r="568" spans="1:26" ht="12.75" x14ac:dyDescent="0.15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</row>
    <row r="569" spans="1:26" ht="12.75" x14ac:dyDescent="0.15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</row>
    <row r="570" spans="1:26" ht="12.75" x14ac:dyDescent="0.15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</row>
    <row r="571" spans="1:26" ht="12.75" x14ac:dyDescent="0.15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</row>
    <row r="572" spans="1:26" ht="12.75" x14ac:dyDescent="0.15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</row>
    <row r="573" spans="1:26" ht="12.75" x14ac:dyDescent="0.15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</row>
    <row r="574" spans="1:26" ht="12.75" x14ac:dyDescent="0.15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</row>
    <row r="575" spans="1:26" ht="12.75" x14ac:dyDescent="0.15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</row>
    <row r="576" spans="1:26" ht="12.75" x14ac:dyDescent="0.15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</row>
    <row r="577" spans="1:26" ht="12.75" x14ac:dyDescent="0.15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</row>
    <row r="578" spans="1:26" ht="12.75" x14ac:dyDescent="0.15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</row>
    <row r="579" spans="1:26" ht="12.75" x14ac:dyDescent="0.15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</row>
    <row r="580" spans="1:26" ht="12.75" x14ac:dyDescent="0.15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</row>
    <row r="581" spans="1:26" ht="12.75" x14ac:dyDescent="0.15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</row>
    <row r="582" spans="1:26" ht="12.75" x14ac:dyDescent="0.15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</row>
    <row r="583" spans="1:26" ht="12.75" x14ac:dyDescent="0.15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</row>
    <row r="584" spans="1:26" ht="12.75" x14ac:dyDescent="0.15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</row>
    <row r="585" spans="1:26" ht="12.75" x14ac:dyDescent="0.15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</row>
    <row r="586" spans="1:26" ht="12.75" x14ac:dyDescent="0.15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</row>
    <row r="587" spans="1:26" ht="12.75" x14ac:dyDescent="0.15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</row>
    <row r="588" spans="1:26" ht="12.75" x14ac:dyDescent="0.15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</row>
    <row r="589" spans="1:26" ht="12.75" x14ac:dyDescent="0.15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</row>
    <row r="590" spans="1:26" ht="12.75" x14ac:dyDescent="0.15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</row>
    <row r="591" spans="1:26" ht="12.75" x14ac:dyDescent="0.15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</row>
    <row r="592" spans="1:26" ht="12.75" x14ac:dyDescent="0.15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</row>
    <row r="593" spans="1:26" ht="12.75" x14ac:dyDescent="0.15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</row>
    <row r="594" spans="1:26" ht="12.75" x14ac:dyDescent="0.15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</row>
    <row r="595" spans="1:26" ht="12.75" x14ac:dyDescent="0.15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</row>
    <row r="596" spans="1:26" ht="12.75" x14ac:dyDescent="0.15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</row>
    <row r="597" spans="1:26" ht="12.75" x14ac:dyDescent="0.15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</row>
    <row r="598" spans="1:26" ht="12.75" x14ac:dyDescent="0.15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</row>
    <row r="599" spans="1:26" ht="12.75" x14ac:dyDescent="0.15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</row>
    <row r="600" spans="1:26" ht="12.75" x14ac:dyDescent="0.15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</row>
    <row r="601" spans="1:26" ht="12.75" x14ac:dyDescent="0.15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</row>
    <row r="602" spans="1:26" ht="12.75" x14ac:dyDescent="0.15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</row>
    <row r="603" spans="1:26" ht="12.75" x14ac:dyDescent="0.15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</row>
    <row r="604" spans="1:26" ht="12.75" x14ac:dyDescent="0.15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</row>
    <row r="605" spans="1:26" ht="12.75" x14ac:dyDescent="0.15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</row>
    <row r="606" spans="1:26" ht="12.75" x14ac:dyDescent="0.15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</row>
    <row r="607" spans="1:26" ht="12.75" x14ac:dyDescent="0.15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</row>
    <row r="608" spans="1:26" ht="12.75" x14ac:dyDescent="0.15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</row>
    <row r="609" spans="1:26" ht="12.75" x14ac:dyDescent="0.15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</row>
    <row r="610" spans="1:26" ht="12.75" x14ac:dyDescent="0.15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</row>
    <row r="611" spans="1:26" ht="12.75" x14ac:dyDescent="0.15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</row>
    <row r="612" spans="1:26" ht="12.75" x14ac:dyDescent="0.15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</row>
    <row r="613" spans="1:26" ht="12.75" x14ac:dyDescent="0.15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</row>
    <row r="614" spans="1:26" ht="12.75" x14ac:dyDescent="0.15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</row>
    <row r="615" spans="1:26" ht="12.75" x14ac:dyDescent="0.15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</row>
    <row r="616" spans="1:26" ht="12.75" x14ac:dyDescent="0.15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</row>
    <row r="617" spans="1:26" ht="12.75" x14ac:dyDescent="0.15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</row>
    <row r="618" spans="1:26" ht="12.75" x14ac:dyDescent="0.15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</row>
    <row r="619" spans="1:26" ht="12.75" x14ac:dyDescent="0.15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</row>
    <row r="620" spans="1:26" ht="12.75" x14ac:dyDescent="0.15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</row>
    <row r="621" spans="1:26" ht="12.75" x14ac:dyDescent="0.15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</row>
    <row r="622" spans="1:26" ht="12.75" x14ac:dyDescent="0.15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</row>
    <row r="623" spans="1:26" ht="12.75" x14ac:dyDescent="0.15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</row>
    <row r="624" spans="1:26" ht="12.75" x14ac:dyDescent="0.15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</row>
    <row r="625" spans="1:26" ht="12.75" x14ac:dyDescent="0.15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</row>
    <row r="626" spans="1:26" ht="12.75" x14ac:dyDescent="0.15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</row>
    <row r="627" spans="1:26" ht="12.75" x14ac:dyDescent="0.15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</row>
    <row r="628" spans="1:26" ht="12.75" x14ac:dyDescent="0.15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</row>
    <row r="629" spans="1:26" ht="12.75" x14ac:dyDescent="0.15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</row>
    <row r="630" spans="1:26" ht="12.75" x14ac:dyDescent="0.15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</row>
    <row r="631" spans="1:26" ht="12.75" x14ac:dyDescent="0.15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</row>
    <row r="632" spans="1:26" ht="12.75" x14ac:dyDescent="0.15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</row>
    <row r="633" spans="1:26" ht="12.75" x14ac:dyDescent="0.15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</row>
    <row r="634" spans="1:26" ht="12.75" x14ac:dyDescent="0.15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</row>
    <row r="635" spans="1:26" ht="12.75" x14ac:dyDescent="0.15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</row>
    <row r="636" spans="1:26" ht="12.75" x14ac:dyDescent="0.15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</row>
    <row r="637" spans="1:26" ht="12.75" x14ac:dyDescent="0.15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</row>
    <row r="638" spans="1:26" ht="12.75" x14ac:dyDescent="0.15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</row>
    <row r="639" spans="1:26" ht="12.75" x14ac:dyDescent="0.15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</row>
    <row r="640" spans="1:26" ht="12.75" x14ac:dyDescent="0.15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</row>
    <row r="641" spans="1:26" ht="12.75" x14ac:dyDescent="0.15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</row>
    <row r="642" spans="1:26" ht="12.75" x14ac:dyDescent="0.15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</row>
    <row r="643" spans="1:26" ht="12.75" x14ac:dyDescent="0.15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</row>
    <row r="644" spans="1:26" ht="12.75" x14ac:dyDescent="0.15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</row>
    <row r="645" spans="1:26" ht="12.75" x14ac:dyDescent="0.15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</row>
    <row r="646" spans="1:26" ht="12.75" x14ac:dyDescent="0.15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</row>
    <row r="647" spans="1:26" ht="12.75" x14ac:dyDescent="0.15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</row>
    <row r="648" spans="1:26" ht="12.75" x14ac:dyDescent="0.15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</row>
    <row r="649" spans="1:26" ht="12.75" x14ac:dyDescent="0.15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</row>
    <row r="650" spans="1:26" ht="12.75" x14ac:dyDescent="0.15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</row>
    <row r="651" spans="1:26" ht="12.75" x14ac:dyDescent="0.15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</row>
    <row r="652" spans="1:26" ht="12.75" x14ac:dyDescent="0.15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</row>
    <row r="653" spans="1:26" ht="12.75" x14ac:dyDescent="0.15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</row>
    <row r="654" spans="1:26" ht="12.75" x14ac:dyDescent="0.15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</row>
    <row r="655" spans="1:26" ht="12.75" x14ac:dyDescent="0.15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</row>
    <row r="656" spans="1:26" ht="12.75" x14ac:dyDescent="0.15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</row>
    <row r="657" spans="1:26" ht="12.75" x14ac:dyDescent="0.15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</row>
    <row r="658" spans="1:26" ht="12.75" x14ac:dyDescent="0.15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</row>
    <row r="659" spans="1:26" ht="12.75" x14ac:dyDescent="0.15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</row>
    <row r="660" spans="1:26" ht="12.75" x14ac:dyDescent="0.15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</row>
    <row r="661" spans="1:26" ht="12.75" x14ac:dyDescent="0.15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</row>
    <row r="662" spans="1:26" ht="12.75" x14ac:dyDescent="0.15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</row>
    <row r="663" spans="1:26" ht="12.75" x14ac:dyDescent="0.15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</row>
    <row r="664" spans="1:26" ht="12.75" x14ac:dyDescent="0.15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</row>
    <row r="665" spans="1:26" ht="12.75" x14ac:dyDescent="0.15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</row>
    <row r="666" spans="1:26" ht="12.75" x14ac:dyDescent="0.15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</row>
    <row r="667" spans="1:26" ht="12.75" x14ac:dyDescent="0.15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</row>
    <row r="668" spans="1:26" ht="12.75" x14ac:dyDescent="0.15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</row>
    <row r="669" spans="1:26" ht="12.75" x14ac:dyDescent="0.15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</row>
    <row r="670" spans="1:26" ht="12.75" x14ac:dyDescent="0.15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</row>
    <row r="671" spans="1:26" ht="12.75" x14ac:dyDescent="0.15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</row>
    <row r="672" spans="1:26" ht="12.75" x14ac:dyDescent="0.15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</row>
    <row r="673" spans="1:26" ht="12.75" x14ac:dyDescent="0.15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</row>
    <row r="674" spans="1:26" ht="12.75" x14ac:dyDescent="0.15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</row>
    <row r="675" spans="1:26" ht="12.75" x14ac:dyDescent="0.15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</row>
    <row r="676" spans="1:26" ht="12.75" x14ac:dyDescent="0.15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</row>
    <row r="677" spans="1:26" ht="12.75" x14ac:dyDescent="0.15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</row>
    <row r="678" spans="1:26" ht="12.75" x14ac:dyDescent="0.15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</row>
    <row r="679" spans="1:26" ht="12.75" x14ac:dyDescent="0.15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</row>
    <row r="680" spans="1:26" ht="12.75" x14ac:dyDescent="0.15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</row>
    <row r="681" spans="1:26" ht="12.75" x14ac:dyDescent="0.15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</row>
    <row r="682" spans="1:26" ht="12.75" x14ac:dyDescent="0.15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</row>
    <row r="683" spans="1:26" ht="12.75" x14ac:dyDescent="0.15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</row>
    <row r="684" spans="1:26" ht="12.75" x14ac:dyDescent="0.15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</row>
    <row r="685" spans="1:26" ht="12.75" x14ac:dyDescent="0.15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</row>
    <row r="686" spans="1:26" ht="12.75" x14ac:dyDescent="0.15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</row>
    <row r="687" spans="1:26" ht="12.75" x14ac:dyDescent="0.15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</row>
    <row r="688" spans="1:26" ht="12.75" x14ac:dyDescent="0.15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</row>
    <row r="689" spans="1:26" ht="12.75" x14ac:dyDescent="0.15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</row>
    <row r="690" spans="1:26" ht="12.75" x14ac:dyDescent="0.15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</row>
    <row r="691" spans="1:26" ht="12.75" x14ac:dyDescent="0.15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</row>
    <row r="692" spans="1:26" ht="12.75" x14ac:dyDescent="0.15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</row>
    <row r="693" spans="1:26" ht="12.75" x14ac:dyDescent="0.15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</row>
    <row r="694" spans="1:26" ht="12.75" x14ac:dyDescent="0.15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</row>
    <row r="695" spans="1:26" ht="12.75" x14ac:dyDescent="0.15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</row>
    <row r="696" spans="1:26" ht="12.75" x14ac:dyDescent="0.15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</row>
    <row r="697" spans="1:26" ht="12.75" x14ac:dyDescent="0.15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</row>
    <row r="698" spans="1:26" ht="12.75" x14ac:dyDescent="0.15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</row>
    <row r="699" spans="1:26" ht="12.75" x14ac:dyDescent="0.15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</row>
    <row r="700" spans="1:26" ht="12.75" x14ac:dyDescent="0.15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</row>
    <row r="701" spans="1:26" ht="12.75" x14ac:dyDescent="0.15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</row>
    <row r="702" spans="1:26" ht="12.75" x14ac:dyDescent="0.15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</row>
    <row r="703" spans="1:26" ht="12.75" x14ac:dyDescent="0.15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</row>
    <row r="704" spans="1:26" ht="12.75" x14ac:dyDescent="0.15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</row>
    <row r="705" spans="1:26" ht="12.75" x14ac:dyDescent="0.15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</row>
    <row r="706" spans="1:26" ht="12.75" x14ac:dyDescent="0.15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</row>
    <row r="707" spans="1:26" ht="12.75" x14ac:dyDescent="0.15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</row>
    <row r="708" spans="1:26" ht="12.75" x14ac:dyDescent="0.15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</row>
    <row r="709" spans="1:26" ht="12.75" x14ac:dyDescent="0.15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</row>
    <row r="710" spans="1:26" ht="12.75" x14ac:dyDescent="0.15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</row>
    <row r="711" spans="1:26" ht="12.75" x14ac:dyDescent="0.15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</row>
    <row r="712" spans="1:26" ht="12.75" x14ac:dyDescent="0.15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</row>
    <row r="713" spans="1:26" ht="12.75" x14ac:dyDescent="0.15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</row>
    <row r="714" spans="1:26" ht="12.75" x14ac:dyDescent="0.15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</row>
    <row r="715" spans="1:26" ht="12.75" x14ac:dyDescent="0.15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</row>
    <row r="716" spans="1:26" ht="12.75" x14ac:dyDescent="0.15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</row>
    <row r="717" spans="1:26" ht="12.75" x14ac:dyDescent="0.15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</row>
    <row r="718" spans="1:26" ht="12.75" x14ac:dyDescent="0.15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</row>
    <row r="719" spans="1:26" ht="12.75" x14ac:dyDescent="0.15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</row>
    <row r="720" spans="1:26" ht="12.75" x14ac:dyDescent="0.15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</row>
    <row r="721" spans="1:26" ht="12.75" x14ac:dyDescent="0.15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</row>
    <row r="722" spans="1:26" ht="12.75" x14ac:dyDescent="0.15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</row>
    <row r="723" spans="1:26" ht="12.75" x14ac:dyDescent="0.15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</row>
    <row r="724" spans="1:26" ht="12.75" x14ac:dyDescent="0.15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</row>
    <row r="725" spans="1:26" ht="12.75" x14ac:dyDescent="0.15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</row>
    <row r="726" spans="1:26" ht="12.75" x14ac:dyDescent="0.15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</row>
    <row r="727" spans="1:26" ht="12.75" x14ac:dyDescent="0.15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</row>
    <row r="728" spans="1:26" ht="12.75" x14ac:dyDescent="0.15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</row>
    <row r="729" spans="1:26" ht="12.75" x14ac:dyDescent="0.15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</row>
    <row r="730" spans="1:26" ht="12.75" x14ac:dyDescent="0.15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</row>
    <row r="731" spans="1:26" ht="12.75" x14ac:dyDescent="0.15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</row>
    <row r="732" spans="1:26" ht="12.75" x14ac:dyDescent="0.15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</row>
    <row r="733" spans="1:26" ht="12.75" x14ac:dyDescent="0.15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</row>
    <row r="734" spans="1:26" ht="12.75" x14ac:dyDescent="0.15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</row>
    <row r="735" spans="1:26" ht="12.75" x14ac:dyDescent="0.15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</row>
    <row r="736" spans="1:26" ht="12.75" x14ac:dyDescent="0.15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</row>
    <row r="737" spans="1:26" ht="12.75" x14ac:dyDescent="0.15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</row>
    <row r="738" spans="1:26" ht="12.75" x14ac:dyDescent="0.15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</row>
    <row r="739" spans="1:26" ht="12.75" x14ac:dyDescent="0.15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</row>
    <row r="740" spans="1:26" ht="12.75" x14ac:dyDescent="0.15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</row>
    <row r="741" spans="1:26" ht="12.75" x14ac:dyDescent="0.15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</row>
    <row r="742" spans="1:26" ht="12.75" x14ac:dyDescent="0.15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</row>
    <row r="743" spans="1:26" ht="12.75" x14ac:dyDescent="0.15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</row>
    <row r="744" spans="1:26" ht="12.75" x14ac:dyDescent="0.15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</row>
    <row r="745" spans="1:26" ht="12.75" x14ac:dyDescent="0.15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</row>
    <row r="746" spans="1:26" ht="12.75" x14ac:dyDescent="0.15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</row>
    <row r="747" spans="1:26" ht="12.75" x14ac:dyDescent="0.15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</row>
    <row r="748" spans="1:26" ht="12.75" x14ac:dyDescent="0.15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</row>
    <row r="749" spans="1:26" ht="12.75" x14ac:dyDescent="0.15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</row>
    <row r="750" spans="1:26" ht="12.75" x14ac:dyDescent="0.15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</row>
    <row r="751" spans="1:26" ht="12.75" x14ac:dyDescent="0.15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</row>
    <row r="752" spans="1:26" ht="12.75" x14ac:dyDescent="0.15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</row>
    <row r="753" spans="1:26" ht="12.75" x14ac:dyDescent="0.15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</row>
    <row r="754" spans="1:26" ht="12.75" x14ac:dyDescent="0.15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</row>
    <row r="755" spans="1:26" ht="12.75" x14ac:dyDescent="0.15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</row>
    <row r="756" spans="1:26" ht="12.75" x14ac:dyDescent="0.15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</row>
    <row r="757" spans="1:26" ht="12.75" x14ac:dyDescent="0.15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</row>
    <row r="758" spans="1:26" ht="12.75" x14ac:dyDescent="0.15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</row>
    <row r="759" spans="1:26" ht="12.75" x14ac:dyDescent="0.15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</row>
    <row r="760" spans="1:26" ht="12.75" x14ac:dyDescent="0.15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</row>
    <row r="761" spans="1:26" ht="12.75" x14ac:dyDescent="0.15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</row>
    <row r="762" spans="1:26" ht="12.75" x14ac:dyDescent="0.15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</row>
    <row r="763" spans="1:26" ht="12.75" x14ac:dyDescent="0.15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</row>
    <row r="764" spans="1:26" ht="12.75" x14ac:dyDescent="0.15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</row>
    <row r="765" spans="1:26" ht="12.75" x14ac:dyDescent="0.15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</row>
    <row r="766" spans="1:26" ht="12.75" x14ac:dyDescent="0.15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</row>
    <row r="767" spans="1:26" ht="12.75" x14ac:dyDescent="0.15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</row>
    <row r="768" spans="1:26" ht="12.75" x14ac:dyDescent="0.15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</row>
    <row r="769" spans="1:26" ht="12.75" x14ac:dyDescent="0.15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</row>
    <row r="770" spans="1:26" ht="12.75" x14ac:dyDescent="0.15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</row>
    <row r="771" spans="1:26" ht="12.75" x14ac:dyDescent="0.15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</row>
    <row r="772" spans="1:26" ht="12.75" x14ac:dyDescent="0.15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</row>
    <row r="773" spans="1:26" ht="12.75" x14ac:dyDescent="0.15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</row>
    <row r="774" spans="1:26" ht="12.75" x14ac:dyDescent="0.15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</row>
    <row r="775" spans="1:26" ht="12.75" x14ac:dyDescent="0.15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</row>
    <row r="776" spans="1:26" ht="12.75" x14ac:dyDescent="0.15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</row>
    <row r="777" spans="1:26" ht="12.75" x14ac:dyDescent="0.15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</row>
    <row r="778" spans="1:26" ht="12.75" x14ac:dyDescent="0.15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</row>
    <row r="779" spans="1:26" ht="12.75" x14ac:dyDescent="0.15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</row>
    <row r="780" spans="1:26" ht="12.75" x14ac:dyDescent="0.15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</row>
    <row r="781" spans="1:26" ht="12.75" x14ac:dyDescent="0.15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</row>
    <row r="782" spans="1:26" ht="12.75" x14ac:dyDescent="0.15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</row>
    <row r="783" spans="1:26" ht="12.75" x14ac:dyDescent="0.15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</row>
    <row r="784" spans="1:26" ht="12.75" x14ac:dyDescent="0.15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</row>
    <row r="785" spans="1:26" ht="12.75" x14ac:dyDescent="0.15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</row>
    <row r="786" spans="1:26" ht="12.75" x14ac:dyDescent="0.15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</row>
    <row r="787" spans="1:26" ht="12.75" x14ac:dyDescent="0.15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</row>
    <row r="788" spans="1:26" ht="12.75" x14ac:dyDescent="0.15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</row>
    <row r="789" spans="1:26" ht="12.75" x14ac:dyDescent="0.15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</row>
    <row r="790" spans="1:26" ht="12.75" x14ac:dyDescent="0.15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</row>
    <row r="791" spans="1:26" ht="12.75" x14ac:dyDescent="0.15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</row>
    <row r="792" spans="1:26" ht="12.75" x14ac:dyDescent="0.15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</row>
    <row r="793" spans="1:26" ht="12.75" x14ac:dyDescent="0.15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</row>
    <row r="794" spans="1:26" ht="12.75" x14ac:dyDescent="0.15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</row>
    <row r="795" spans="1:26" ht="12.75" x14ac:dyDescent="0.15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</row>
    <row r="796" spans="1:26" ht="12.75" x14ac:dyDescent="0.15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</row>
    <row r="797" spans="1:26" ht="12.75" x14ac:dyDescent="0.15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</row>
    <row r="798" spans="1:26" ht="12.75" x14ac:dyDescent="0.15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</row>
    <row r="799" spans="1:26" ht="12.75" x14ac:dyDescent="0.15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</row>
    <row r="800" spans="1:26" ht="12.75" x14ac:dyDescent="0.15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</row>
    <row r="801" spans="1:26" ht="12.75" x14ac:dyDescent="0.15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</row>
    <row r="802" spans="1:26" ht="12.75" x14ac:dyDescent="0.15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</row>
    <row r="803" spans="1:26" ht="12.75" x14ac:dyDescent="0.15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</row>
    <row r="804" spans="1:26" ht="12.75" x14ac:dyDescent="0.15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</row>
    <row r="805" spans="1:26" ht="12.75" x14ac:dyDescent="0.15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</row>
    <row r="806" spans="1:26" ht="12.75" x14ac:dyDescent="0.15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</row>
    <row r="807" spans="1:26" ht="12.75" x14ac:dyDescent="0.15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</row>
    <row r="808" spans="1:26" ht="12.75" x14ac:dyDescent="0.15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</row>
    <row r="809" spans="1:26" ht="12.75" x14ac:dyDescent="0.15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</row>
    <row r="810" spans="1:26" ht="12.75" x14ac:dyDescent="0.15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</row>
    <row r="811" spans="1:26" ht="12.75" x14ac:dyDescent="0.15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</row>
    <row r="812" spans="1:26" ht="12.75" x14ac:dyDescent="0.15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</row>
    <row r="813" spans="1:26" ht="12.75" x14ac:dyDescent="0.15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</row>
    <row r="814" spans="1:26" ht="12.75" x14ac:dyDescent="0.15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</row>
    <row r="815" spans="1:26" ht="12.75" x14ac:dyDescent="0.15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</row>
    <row r="816" spans="1:26" ht="12.75" x14ac:dyDescent="0.15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</row>
    <row r="817" spans="1:26" ht="12.75" x14ac:dyDescent="0.15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</row>
    <row r="818" spans="1:26" ht="12.75" x14ac:dyDescent="0.15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</row>
    <row r="819" spans="1:26" ht="12.75" x14ac:dyDescent="0.15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</row>
    <row r="820" spans="1:26" ht="12.75" x14ac:dyDescent="0.15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</row>
    <row r="821" spans="1:26" ht="12.75" x14ac:dyDescent="0.15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</row>
    <row r="822" spans="1:26" ht="12.75" x14ac:dyDescent="0.15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</row>
    <row r="823" spans="1:26" ht="12.75" x14ac:dyDescent="0.15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</row>
    <row r="824" spans="1:26" ht="12.75" x14ac:dyDescent="0.15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</row>
    <row r="825" spans="1:26" ht="12.75" x14ac:dyDescent="0.15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</row>
    <row r="826" spans="1:26" ht="12.75" x14ac:dyDescent="0.15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</row>
    <row r="827" spans="1:26" ht="12.75" x14ac:dyDescent="0.15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</row>
    <row r="828" spans="1:26" ht="12.75" x14ac:dyDescent="0.15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</row>
    <row r="829" spans="1:26" ht="12.75" x14ac:dyDescent="0.15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</row>
    <row r="830" spans="1:26" ht="12.75" x14ac:dyDescent="0.15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</row>
    <row r="831" spans="1:26" ht="12.75" x14ac:dyDescent="0.15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</row>
    <row r="832" spans="1:26" ht="12.75" x14ac:dyDescent="0.15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</row>
    <row r="833" spans="1:26" ht="12.75" x14ac:dyDescent="0.15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</row>
    <row r="834" spans="1:26" ht="12.75" x14ac:dyDescent="0.15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</row>
    <row r="835" spans="1:26" ht="12.75" x14ac:dyDescent="0.15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</row>
    <row r="836" spans="1:26" ht="12.75" x14ac:dyDescent="0.15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</row>
    <row r="837" spans="1:26" ht="12.75" x14ac:dyDescent="0.15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</row>
    <row r="838" spans="1:26" ht="12.75" x14ac:dyDescent="0.15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</row>
    <row r="839" spans="1:26" ht="12.75" x14ac:dyDescent="0.15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</row>
    <row r="840" spans="1:26" ht="12.75" x14ac:dyDescent="0.15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</row>
    <row r="841" spans="1:26" ht="12.75" x14ac:dyDescent="0.15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</row>
    <row r="842" spans="1:26" ht="12.75" x14ac:dyDescent="0.15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</row>
    <row r="843" spans="1:26" ht="12.75" x14ac:dyDescent="0.15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</row>
    <row r="844" spans="1:26" ht="12.75" x14ac:dyDescent="0.15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</row>
    <row r="845" spans="1:26" ht="12.75" x14ac:dyDescent="0.15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</row>
    <row r="846" spans="1:26" ht="12.75" x14ac:dyDescent="0.15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</row>
    <row r="847" spans="1:26" ht="12.75" x14ac:dyDescent="0.15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</row>
    <row r="848" spans="1:26" ht="12.75" x14ac:dyDescent="0.15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</row>
    <row r="849" spans="1:26" ht="12.75" x14ac:dyDescent="0.15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</row>
    <row r="850" spans="1:26" ht="12.75" x14ac:dyDescent="0.15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</row>
    <row r="851" spans="1:26" ht="12.75" x14ac:dyDescent="0.15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</row>
    <row r="852" spans="1:26" ht="12.75" x14ac:dyDescent="0.15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</row>
    <row r="853" spans="1:26" ht="12.75" x14ac:dyDescent="0.15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</row>
    <row r="854" spans="1:26" ht="12.75" x14ac:dyDescent="0.15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</row>
    <row r="855" spans="1:26" ht="12.75" x14ac:dyDescent="0.15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</row>
    <row r="856" spans="1:26" ht="12.75" x14ac:dyDescent="0.15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</row>
    <row r="857" spans="1:26" ht="12.75" x14ac:dyDescent="0.15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</row>
    <row r="858" spans="1:26" ht="12.75" x14ac:dyDescent="0.15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</row>
    <row r="859" spans="1:26" ht="12.75" x14ac:dyDescent="0.15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</row>
    <row r="860" spans="1:26" ht="12.75" x14ac:dyDescent="0.15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</row>
    <row r="861" spans="1:26" ht="12.75" x14ac:dyDescent="0.15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</row>
    <row r="862" spans="1:26" ht="12.75" x14ac:dyDescent="0.15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</row>
    <row r="863" spans="1:26" ht="12.75" x14ac:dyDescent="0.15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</row>
    <row r="864" spans="1:26" ht="12.75" x14ac:dyDescent="0.15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</row>
    <row r="865" spans="1:26" ht="12.75" x14ac:dyDescent="0.15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</row>
    <row r="866" spans="1:26" ht="12.75" x14ac:dyDescent="0.15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</row>
    <row r="867" spans="1:26" ht="12.75" x14ac:dyDescent="0.15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</row>
    <row r="868" spans="1:26" ht="12.75" x14ac:dyDescent="0.15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</row>
    <row r="869" spans="1:26" ht="12.75" x14ac:dyDescent="0.15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</row>
    <row r="870" spans="1:26" ht="12.75" x14ac:dyDescent="0.15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</row>
    <row r="871" spans="1:26" ht="12.75" x14ac:dyDescent="0.15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</row>
    <row r="872" spans="1:26" ht="12.75" x14ac:dyDescent="0.15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</row>
    <row r="873" spans="1:26" ht="12.75" x14ac:dyDescent="0.15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</row>
    <row r="874" spans="1:26" ht="12.75" x14ac:dyDescent="0.15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</row>
    <row r="875" spans="1:26" ht="12.75" x14ac:dyDescent="0.15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</row>
    <row r="876" spans="1:26" ht="12.75" x14ac:dyDescent="0.15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</row>
    <row r="877" spans="1:26" ht="12.75" x14ac:dyDescent="0.15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</row>
    <row r="878" spans="1:26" ht="12.75" x14ac:dyDescent="0.15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</row>
    <row r="879" spans="1:26" ht="12.75" x14ac:dyDescent="0.15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</row>
    <row r="880" spans="1:26" ht="12.75" x14ac:dyDescent="0.15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</row>
    <row r="881" spans="1:26" ht="12.75" x14ac:dyDescent="0.15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</row>
    <row r="882" spans="1:26" ht="12.75" x14ac:dyDescent="0.15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</row>
    <row r="883" spans="1:26" ht="12.75" x14ac:dyDescent="0.15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</row>
    <row r="884" spans="1:26" ht="12.75" x14ac:dyDescent="0.15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</row>
    <row r="885" spans="1:26" ht="12.75" x14ac:dyDescent="0.15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</row>
    <row r="886" spans="1:26" ht="12.75" x14ac:dyDescent="0.15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</row>
    <row r="887" spans="1:26" ht="12.75" x14ac:dyDescent="0.15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</row>
    <row r="888" spans="1:26" ht="12.75" x14ac:dyDescent="0.15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</row>
    <row r="889" spans="1:26" ht="12.75" x14ac:dyDescent="0.15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</row>
    <row r="890" spans="1:26" ht="12.75" x14ac:dyDescent="0.15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</row>
    <row r="891" spans="1:26" ht="12.75" x14ac:dyDescent="0.15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</row>
    <row r="892" spans="1:26" ht="12.75" x14ac:dyDescent="0.15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</row>
    <row r="893" spans="1:26" ht="12.75" x14ac:dyDescent="0.15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</row>
    <row r="894" spans="1:26" ht="12.75" x14ac:dyDescent="0.15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</row>
    <row r="895" spans="1:26" ht="12.75" x14ac:dyDescent="0.15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</row>
    <row r="896" spans="1:26" ht="12.75" x14ac:dyDescent="0.15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</row>
    <row r="897" spans="1:26" ht="12.75" x14ac:dyDescent="0.15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</row>
    <row r="898" spans="1:26" ht="12.75" x14ac:dyDescent="0.15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</row>
    <row r="899" spans="1:26" ht="12.75" x14ac:dyDescent="0.15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</row>
    <row r="900" spans="1:26" ht="12.75" x14ac:dyDescent="0.15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</row>
    <row r="901" spans="1:26" ht="12.75" x14ac:dyDescent="0.15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</row>
    <row r="902" spans="1:26" ht="12.75" x14ac:dyDescent="0.15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</row>
    <row r="903" spans="1:26" ht="12.75" x14ac:dyDescent="0.15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</row>
    <row r="904" spans="1:26" ht="12.75" x14ac:dyDescent="0.15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</row>
    <row r="905" spans="1:26" ht="12.75" x14ac:dyDescent="0.15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</row>
    <row r="906" spans="1:26" ht="12.75" x14ac:dyDescent="0.15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</row>
    <row r="907" spans="1:26" ht="12.75" x14ac:dyDescent="0.15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</row>
    <row r="908" spans="1:26" ht="12.75" x14ac:dyDescent="0.15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</row>
    <row r="909" spans="1:26" ht="12.75" x14ac:dyDescent="0.15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</row>
    <row r="910" spans="1:26" ht="12.75" x14ac:dyDescent="0.15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</row>
    <row r="911" spans="1:26" ht="12.75" x14ac:dyDescent="0.15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</row>
    <row r="912" spans="1:26" ht="12.75" x14ac:dyDescent="0.15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</row>
    <row r="913" spans="1:26" ht="12.75" x14ac:dyDescent="0.15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</row>
    <row r="914" spans="1:26" ht="12.75" x14ac:dyDescent="0.15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</row>
    <row r="915" spans="1:26" ht="12.75" x14ac:dyDescent="0.15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</row>
    <row r="916" spans="1:26" ht="12.75" x14ac:dyDescent="0.15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</row>
    <row r="917" spans="1:26" ht="12.75" x14ac:dyDescent="0.15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</row>
    <row r="918" spans="1:26" ht="12.75" x14ac:dyDescent="0.15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</row>
    <row r="919" spans="1:26" ht="12.75" x14ac:dyDescent="0.15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</row>
    <row r="920" spans="1:26" ht="12.75" x14ac:dyDescent="0.15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</row>
    <row r="921" spans="1:26" ht="12.75" x14ac:dyDescent="0.15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</row>
    <row r="922" spans="1:26" ht="12.75" x14ac:dyDescent="0.15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</row>
    <row r="923" spans="1:26" ht="12.75" x14ac:dyDescent="0.15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</row>
    <row r="924" spans="1:26" ht="12.75" x14ac:dyDescent="0.15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</row>
    <row r="925" spans="1:26" ht="12.75" x14ac:dyDescent="0.15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</row>
    <row r="926" spans="1:26" ht="12.75" x14ac:dyDescent="0.15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</row>
    <row r="927" spans="1:26" ht="12.75" x14ac:dyDescent="0.15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</row>
    <row r="928" spans="1:26" ht="12.75" x14ac:dyDescent="0.15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</row>
    <row r="929" spans="1:26" ht="12.75" x14ac:dyDescent="0.15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</row>
    <row r="930" spans="1:26" ht="12.75" x14ac:dyDescent="0.15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</row>
    <row r="931" spans="1:26" ht="12.75" x14ac:dyDescent="0.15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</row>
    <row r="932" spans="1:26" ht="12.75" x14ac:dyDescent="0.15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</row>
    <row r="933" spans="1:26" ht="12.75" x14ac:dyDescent="0.15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</row>
    <row r="934" spans="1:26" ht="12.75" x14ac:dyDescent="0.15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</row>
    <row r="935" spans="1:26" ht="12.75" x14ac:dyDescent="0.15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</row>
    <row r="936" spans="1:26" ht="12.75" x14ac:dyDescent="0.15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</row>
    <row r="937" spans="1:26" ht="12.75" x14ac:dyDescent="0.15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</row>
    <row r="938" spans="1:26" ht="12.75" x14ac:dyDescent="0.15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</row>
    <row r="939" spans="1:26" ht="12.75" x14ac:dyDescent="0.15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</row>
    <row r="940" spans="1:26" ht="12.75" x14ac:dyDescent="0.15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</row>
    <row r="941" spans="1:26" ht="12.75" x14ac:dyDescent="0.15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</row>
    <row r="942" spans="1:26" ht="12.75" x14ac:dyDescent="0.15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</row>
    <row r="943" spans="1:26" ht="12.75" x14ac:dyDescent="0.15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</row>
    <row r="944" spans="1:26" ht="12.75" x14ac:dyDescent="0.15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</row>
    <row r="945" spans="1:26" ht="12.75" x14ac:dyDescent="0.15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</row>
    <row r="946" spans="1:26" ht="12.75" x14ac:dyDescent="0.15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</row>
    <row r="947" spans="1:26" ht="12.75" x14ac:dyDescent="0.15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</row>
    <row r="948" spans="1:26" ht="12.75" x14ac:dyDescent="0.15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</row>
    <row r="949" spans="1:26" ht="12.75" x14ac:dyDescent="0.15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</row>
    <row r="950" spans="1:26" ht="12.75" x14ac:dyDescent="0.15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</row>
    <row r="951" spans="1:26" ht="12.75" x14ac:dyDescent="0.15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</row>
    <row r="952" spans="1:26" ht="12.75" x14ac:dyDescent="0.15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</row>
    <row r="953" spans="1:26" ht="12.75" x14ac:dyDescent="0.15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</row>
    <row r="954" spans="1:26" ht="12.75" x14ac:dyDescent="0.15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</row>
    <row r="955" spans="1:26" ht="12.75" x14ac:dyDescent="0.15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</row>
    <row r="956" spans="1:26" ht="12.75" x14ac:dyDescent="0.15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</row>
    <row r="957" spans="1:26" ht="12.75" x14ac:dyDescent="0.15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</row>
    <row r="958" spans="1:26" ht="12.75" x14ac:dyDescent="0.15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</row>
    <row r="959" spans="1:26" ht="12.75" x14ac:dyDescent="0.15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</row>
    <row r="960" spans="1:26" ht="12.75" x14ac:dyDescent="0.15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</row>
    <row r="961" spans="1:26" ht="12.75" x14ac:dyDescent="0.15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</row>
    <row r="962" spans="1:26" ht="12.75" x14ac:dyDescent="0.15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</row>
    <row r="963" spans="1:26" ht="12.75" x14ac:dyDescent="0.15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</row>
    <row r="964" spans="1:26" ht="12.75" x14ac:dyDescent="0.15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</row>
    <row r="965" spans="1:26" ht="12.75" x14ac:dyDescent="0.15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</row>
    <row r="966" spans="1:26" ht="12.75" x14ac:dyDescent="0.15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</row>
    <row r="967" spans="1:26" ht="12.75" x14ac:dyDescent="0.15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</row>
    <row r="968" spans="1:26" ht="12.75" x14ac:dyDescent="0.15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</row>
    <row r="969" spans="1:26" ht="12.75" x14ac:dyDescent="0.15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</row>
    <row r="970" spans="1:26" ht="12.75" x14ac:dyDescent="0.15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</row>
    <row r="971" spans="1:26" ht="12.75" x14ac:dyDescent="0.15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</row>
    <row r="972" spans="1:26" ht="12.75" x14ac:dyDescent="0.15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</row>
    <row r="973" spans="1:26" ht="12.75" x14ac:dyDescent="0.15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</row>
    <row r="974" spans="1:26" ht="12.75" x14ac:dyDescent="0.15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</row>
    <row r="975" spans="1:26" ht="12.75" x14ac:dyDescent="0.15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</row>
    <row r="976" spans="1:26" ht="12.75" x14ac:dyDescent="0.15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</row>
    <row r="977" spans="1:26" ht="12.75" x14ac:dyDescent="0.15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</row>
    <row r="978" spans="1:26" ht="12.75" x14ac:dyDescent="0.15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</row>
    <row r="979" spans="1:26" ht="12.75" x14ac:dyDescent="0.15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</row>
    <row r="980" spans="1:26" ht="12.75" x14ac:dyDescent="0.15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</row>
    <row r="981" spans="1:26" ht="12.75" x14ac:dyDescent="0.15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</row>
    <row r="982" spans="1:26" ht="12.75" x14ac:dyDescent="0.15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</row>
    <row r="983" spans="1:26" ht="12.75" x14ac:dyDescent="0.15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</row>
    <row r="984" spans="1:26" ht="12.75" x14ac:dyDescent="0.15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</row>
    <row r="985" spans="1:26" ht="12.75" x14ac:dyDescent="0.15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</row>
    <row r="986" spans="1:26" ht="12.75" x14ac:dyDescent="0.15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</row>
    <row r="987" spans="1:26" ht="12.75" x14ac:dyDescent="0.15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</row>
    <row r="988" spans="1:26" ht="12.75" x14ac:dyDescent="0.15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</row>
    <row r="989" spans="1:26" ht="12.75" x14ac:dyDescent="0.15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</row>
    <row r="990" spans="1:26" ht="12.75" x14ac:dyDescent="0.15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</row>
    <row r="991" spans="1:26" ht="12.75" x14ac:dyDescent="0.15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</row>
    <row r="992" spans="1:26" ht="12.75" x14ac:dyDescent="0.15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</row>
    <row r="993" spans="1:26" ht="12.75" x14ac:dyDescent="0.15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</row>
    <row r="994" spans="1:26" ht="12.75" x14ac:dyDescent="0.15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</row>
    <row r="995" spans="1:26" ht="12.75" x14ac:dyDescent="0.15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</row>
    <row r="996" spans="1:26" ht="12.75" x14ac:dyDescent="0.15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</row>
    <row r="997" spans="1:26" ht="12.75" x14ac:dyDescent="0.15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</row>
    <row r="998" spans="1:26" ht="12.75" x14ac:dyDescent="0.15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</row>
    <row r="999" spans="1:26" ht="12.75" x14ac:dyDescent="0.15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</row>
    <row r="1000" spans="1:26" ht="12.75" x14ac:dyDescent="0.15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</row>
    <row r="1001" spans="1:26" ht="12.75" x14ac:dyDescent="0.15">
      <c r="A1001" s="146"/>
      <c r="B1001" s="146"/>
      <c r="C1001" s="146"/>
      <c r="D1001" s="146"/>
      <c r="E1001" s="146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</row>
    <row r="1002" spans="1:26" ht="12.75" x14ac:dyDescent="0.15">
      <c r="A1002" s="146"/>
      <c r="B1002" s="146"/>
      <c r="C1002" s="146"/>
      <c r="D1002" s="146"/>
      <c r="E1002" s="146"/>
      <c r="F1002" s="146"/>
      <c r="G1002" s="146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</row>
  </sheetData>
  <mergeCells count="1">
    <mergeCell ref="A1:E1"/>
  </mergeCells>
  <dataValidations count="1">
    <dataValidation type="list" allowBlank="1" showErrorMessage="1" sqref="G2" xr:uid="{00000000-0002-0000-0B00-000000000000}">
      <formula1>$B$2:$E$2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  <outlinePr summaryBelow="0" summaryRight="0"/>
  </sheetPr>
  <dimension ref="A1:AO958"/>
  <sheetViews>
    <sheetView workbookViewId="0">
      <selection sqref="A1:B1"/>
    </sheetView>
  </sheetViews>
  <sheetFormatPr defaultColWidth="12.5390625" defaultRowHeight="15.75" customHeight="1" outlineLevelRow="4" outlineLevelCol="1" x14ac:dyDescent="0.15"/>
  <cols>
    <col min="1" max="1" width="45.4453125" customWidth="1"/>
    <col min="2" max="2" width="16.31640625" customWidth="1"/>
    <col min="3" max="3" width="13.484375" customWidth="1" collapsed="1"/>
    <col min="4" max="15" width="12.80859375" hidden="1" customWidth="1" outlineLevel="1"/>
    <col min="16" max="16" width="16.31640625" customWidth="1" collapsed="1"/>
    <col min="17" max="28" width="12.80859375" hidden="1" customWidth="1" outlineLevel="1"/>
    <col min="29" max="29" width="15.1015625" customWidth="1" collapsed="1"/>
    <col min="30" max="41" width="12.80859375" hidden="1" customWidth="1" outlineLevel="1"/>
  </cols>
  <sheetData>
    <row r="1" spans="1:41" ht="30.75" customHeight="1" x14ac:dyDescent="0.15">
      <c r="A1" s="157" t="s">
        <v>54</v>
      </c>
      <c r="B1" s="158"/>
      <c r="C1" s="54"/>
      <c r="D1" s="1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54"/>
      <c r="Q1" s="1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54"/>
      <c r="AD1" s="1"/>
      <c r="AE1" s="2"/>
      <c r="AF1" s="2"/>
      <c r="AG1" s="2"/>
      <c r="AH1" s="2"/>
      <c r="AI1" s="2"/>
      <c r="AJ1" s="2"/>
      <c r="AK1" s="4"/>
      <c r="AL1" s="4"/>
      <c r="AM1" s="4"/>
      <c r="AN1" s="4"/>
      <c r="AO1" s="4"/>
    </row>
    <row r="2" spans="1:41" ht="30.75" customHeight="1" outlineLevel="1" x14ac:dyDescent="0.45">
      <c r="A2" s="55" t="s">
        <v>55</v>
      </c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2"/>
      <c r="AD2" s="2"/>
      <c r="AE2" s="2"/>
      <c r="AF2" s="2"/>
      <c r="AG2" s="2"/>
      <c r="AH2" s="2"/>
      <c r="AI2" s="2"/>
      <c r="AJ2" s="2"/>
      <c r="AK2" s="4"/>
      <c r="AL2" s="4"/>
      <c r="AM2" s="4"/>
      <c r="AN2" s="4"/>
      <c r="AO2" s="4"/>
    </row>
    <row r="3" spans="1:41" ht="21" outlineLevel="2" x14ac:dyDescent="0.4">
      <c r="A3" s="155" t="s">
        <v>56</v>
      </c>
      <c r="B3" s="56"/>
      <c r="C3" s="57">
        <v>45291</v>
      </c>
      <c r="D3" s="58">
        <v>44927</v>
      </c>
      <c r="E3" s="58">
        <v>44958</v>
      </c>
      <c r="F3" s="58">
        <v>44986</v>
      </c>
      <c r="G3" s="58">
        <v>45017</v>
      </c>
      <c r="H3" s="58">
        <v>45047</v>
      </c>
      <c r="I3" s="58">
        <v>45078</v>
      </c>
      <c r="J3" s="58">
        <v>45108</v>
      </c>
      <c r="K3" s="58">
        <v>45139</v>
      </c>
      <c r="L3" s="58">
        <v>45170</v>
      </c>
      <c r="M3" s="58">
        <v>45200</v>
      </c>
      <c r="N3" s="58">
        <v>45231</v>
      </c>
      <c r="O3" s="59">
        <v>45261</v>
      </c>
      <c r="P3" s="57">
        <v>45657</v>
      </c>
      <c r="Q3" s="60">
        <v>45292</v>
      </c>
      <c r="R3" s="60">
        <v>45323</v>
      </c>
      <c r="S3" s="60">
        <v>45352</v>
      </c>
      <c r="T3" s="60">
        <v>45383</v>
      </c>
      <c r="U3" s="60">
        <v>45413</v>
      </c>
      <c r="V3" s="60">
        <v>45444</v>
      </c>
      <c r="W3" s="60">
        <v>45474</v>
      </c>
      <c r="X3" s="60">
        <v>45505</v>
      </c>
      <c r="Y3" s="60">
        <v>45536</v>
      </c>
      <c r="Z3" s="60">
        <v>45566</v>
      </c>
      <c r="AA3" s="60">
        <v>45597</v>
      </c>
      <c r="AB3" s="60">
        <v>45627</v>
      </c>
      <c r="AC3" s="57">
        <v>46022</v>
      </c>
      <c r="AD3" s="60">
        <v>45658</v>
      </c>
      <c r="AE3" s="60">
        <v>45689</v>
      </c>
      <c r="AF3" s="60">
        <v>45717</v>
      </c>
      <c r="AG3" s="60">
        <v>45748</v>
      </c>
      <c r="AH3" s="60">
        <v>45778</v>
      </c>
      <c r="AI3" s="60">
        <v>45809</v>
      </c>
      <c r="AJ3" s="60">
        <v>45839</v>
      </c>
      <c r="AK3" s="60">
        <v>45870</v>
      </c>
      <c r="AL3" s="60">
        <v>45901</v>
      </c>
      <c r="AM3" s="60">
        <v>45931</v>
      </c>
      <c r="AN3" s="60">
        <v>45962</v>
      </c>
      <c r="AO3" s="60">
        <v>45992</v>
      </c>
    </row>
    <row r="4" spans="1:41" ht="18.75" outlineLevel="2" x14ac:dyDescent="0.4">
      <c r="A4" s="156"/>
      <c r="B4" s="51" t="s">
        <v>57</v>
      </c>
      <c r="C4" s="61" t="e">
        <f t="shared" ref="C4:C6" si="0">SUM(D4:O4)</f>
        <v>#DIV/0!</v>
      </c>
      <c r="D4" s="62">
        <f>('CASH FLOW'!D7*40%)/'КАЛЬКУЛЯЦИЯ ПАРТИИ ТОВАРОВ'!E4</f>
        <v>0</v>
      </c>
      <c r="E4" s="62">
        <f>('CASH FLOW'!E7*40%)/'КАЛЬКУЛЯЦИЯ ПАРТИИ ТОВАРОВ'!F4</f>
        <v>0</v>
      </c>
      <c r="F4" s="62">
        <f>('CASH FLOW'!F7*40%)/'КАЛЬКУЛЯЦИЯ ПАРТИИ ТОВАРОВ'!G4</f>
        <v>0</v>
      </c>
      <c r="G4" s="62" t="e">
        <f>('CASH FLOW'!G7*40%)/'КАЛЬКУЛЯЦИЯ ПАРТИИ ТОВАРОВ'!H4</f>
        <v>#DIV/0!</v>
      </c>
      <c r="H4" s="62" t="e">
        <f>('CASH FLOW'!H7*40%)/'КАЛЬКУЛЯЦИЯ ПАРТИИ ТОВАРОВ'!I4</f>
        <v>#DIV/0!</v>
      </c>
      <c r="I4" s="62" t="e">
        <f>('CASH FLOW'!I7*40%)/'КАЛЬКУЛЯЦИЯ ПАРТИИ ТОВАРОВ'!J4</f>
        <v>#DIV/0!</v>
      </c>
      <c r="J4" s="62" t="e">
        <f>('CASH FLOW'!J7*40%)/'КАЛЬКУЛЯЦИЯ ПАРТИИ ТОВАРОВ'!K4</f>
        <v>#DIV/0!</v>
      </c>
      <c r="K4" s="62" t="e">
        <f>('CASH FLOW'!K7*40%)/'КАЛЬКУЛЯЦИЯ ПАРТИИ ТОВАРОВ'!L4</f>
        <v>#DIV/0!</v>
      </c>
      <c r="L4" s="62" t="e">
        <f>('CASH FLOW'!L7*40%)/'КАЛЬКУЛЯЦИЯ ПАРТИИ ТОВАРОВ'!M4</f>
        <v>#DIV/0!</v>
      </c>
      <c r="M4" s="62" t="e">
        <f>('CASH FLOW'!M7*40%)/'КАЛЬКУЛЯЦИЯ ПАРТИИ ТОВАРОВ'!N4</f>
        <v>#DIV/0!</v>
      </c>
      <c r="N4" s="62" t="e">
        <f>('CASH FLOW'!N7*40%)/'КАЛЬКУЛЯЦИЯ ПАРТИИ ТОВАРОВ'!O4</f>
        <v>#DIV/0!</v>
      </c>
      <c r="O4" s="62" t="e">
        <f>('CASH FLOW'!O7*40%)/'КАЛЬКУЛЯЦИЯ ПАРТИИ ТОВАРОВ'!P4</f>
        <v>#DIV/0!</v>
      </c>
      <c r="P4" s="61">
        <f t="shared" ref="P4:P6" si="1">SUM(Q4:AB4)</f>
        <v>38.210765452740986</v>
      </c>
      <c r="Q4" s="62">
        <f>'CASH FLOW'!Q7*60%/'КАЛЬКУЛЯЦИЯ ПАРТИИ ТОВАРОВ'!$E$4</f>
        <v>1.8681107227053673</v>
      </c>
      <c r="R4" s="62">
        <f>'CASH FLOW'!R7*60%/'КАЛЬКУЛЯЦИЯ ПАРТИИ ТОВАРОВ'!$E$4</f>
        <v>1.6967691811948764</v>
      </c>
      <c r="S4" s="62">
        <f>'CASH FLOW'!S7*60%/'КАЛЬКУЛЯЦИЯ ПАРТИИ ТОВАРОВ'!$E$4</f>
        <v>1.8464582736941224</v>
      </c>
      <c r="T4" s="62">
        <f>'CASH FLOW'!T7*60%/'КАЛЬКУЛЯЦИЯ ПАРТИИ ТОВАРОВ'!$E$4</f>
        <v>2.4789555150882889</v>
      </c>
      <c r="U4" s="62">
        <f>'CASH FLOW'!U7*60%/'КАЛЬКУЛЯЦИЯ ПАРТИИ ТОВАРОВ'!$E$4</f>
        <v>2.5130655918376128</v>
      </c>
      <c r="V4" s="62">
        <f>'CASH FLOW'!V7*60%/'КАЛЬКУЛЯЦИЯ ПАРТИИ ТОВАРОВ'!$E$4</f>
        <v>2.5952593973608558</v>
      </c>
      <c r="W4" s="62">
        <f>'CASH FLOW'!W7*60%/'КАЛЬКУЛЯЦИЯ ПАРТИИ ТОВАРОВ'!$E$4</f>
        <v>3.2459182779408757</v>
      </c>
      <c r="X4" s="62">
        <v>6</v>
      </c>
      <c r="Y4" s="62">
        <f>'CASH FLOW'!Y7*60%/'КАЛЬКУЛЯЦИЯ ПАРТИИ ТОВАРОВ'!$E$4</f>
        <v>3.6843544159788748</v>
      </c>
      <c r="Z4" s="62">
        <f>'CASH FLOW'!Z7*60%/'КАЛЬКУЛЯЦИЯ ПАРТИИ ТОВАРОВ'!$E$4</f>
        <v>3.74177506960985</v>
      </c>
      <c r="AA4" s="62">
        <f>'CASH FLOW'!AA7*60%/'КАЛЬКУЛЯЦИЯ ПАРТИИ ТОВАРОВ'!$E$4</f>
        <v>4.1210678225041057</v>
      </c>
      <c r="AB4" s="62">
        <f>'CASH FLOW'!AB7*60%/'КАЛЬКУЛЯЦИЯ ПАРТИИ ТОВАРОВ'!$E$4</f>
        <v>4.4190311848261565</v>
      </c>
      <c r="AC4" s="61">
        <f t="shared" ref="AC4:AC6" si="2">SUM(AD4:AO4)</f>
        <v>59.469643100568042</v>
      </c>
      <c r="AD4" s="62">
        <f>'CASH FLOW'!AD7*60%/'КАЛЬКУЛЯЦИЯ ПАРТИИ ТОВАРОВ'!$E$4</f>
        <v>5.0388666464114884</v>
      </c>
      <c r="AE4" s="62">
        <f>'CASH FLOW'!AE7*60%/'КАЛЬКУЛЯЦИЯ ПАРТИИ ТОВАРОВ'!$E$4</f>
        <v>2.1633146386873201</v>
      </c>
      <c r="AF4" s="62">
        <f>'CASH FLOW'!AF7*60%/'КАЛЬКУЛЯЦИЯ ПАРТИИ ТОВАРОВ'!$E$4</f>
        <v>2.5740038756254711</v>
      </c>
      <c r="AG4" s="62">
        <f>'CASH FLOW'!AG7*60%/'КАЛЬКУЛЯЦИЯ ПАРТИИ ТОВАРОВ'!$E$4</f>
        <v>2.7364042280568923</v>
      </c>
      <c r="AH4" s="62">
        <f>'CASH FLOW'!AH7*60%/'КАЛЬКУЛЯЦИЯ ПАРТИИ ТОВАРОВ'!$E$4</f>
        <v>3.6830167984022335</v>
      </c>
      <c r="AI4" s="62">
        <f>'CASH FLOW'!AI7*60%/'КАЛЬКУЛЯЦИЯ ПАРТИИ ТОВАРОВ'!$E$4</f>
        <v>3.9762091561513295</v>
      </c>
      <c r="AJ4" s="62">
        <f>'CASH FLOW'!AJ7*60%/'КАЛЬКУЛЯЦИЯ ПАРТИИ ТОВАРОВ'!$E$4</f>
        <v>4.3347975165592647</v>
      </c>
      <c r="AK4" s="62">
        <f>'CASH FLOW'!AK7*60%/'КАЛЬКУЛЯЦИЯ ПАРТИИ ТОВАРОВ'!$E$4</f>
        <v>4.824177882284876</v>
      </c>
      <c r="AL4" s="62">
        <f>'CASH FLOW'!AL7*60%/'КАЛЬКУЛЯЦИЯ ПАРТИИ ТОВАРОВ'!$E$4</f>
        <v>5.8494815814176748</v>
      </c>
      <c r="AM4" s="62">
        <f>'CASH FLOW'!AM7*60%/'КАЛЬКУЛЯЦИЯ ПАРТИИ ТОВАРОВ'!$E$4</f>
        <v>7.0055772858681493</v>
      </c>
      <c r="AN4" s="62">
        <f>'CASH FLOW'!AN7*60%/'КАЛЬКУЛЯЦИЯ ПАРТИИ ТОВАРОВ'!$E$4</f>
        <v>8.1356225520535155</v>
      </c>
      <c r="AO4" s="62">
        <f>'CASH FLOW'!AO7*60%/'КАЛЬКУЛЯЦИЯ ПАРТИИ ТОВАРОВ'!$E$4</f>
        <v>9.1481709390498285</v>
      </c>
    </row>
    <row r="5" spans="1:41" ht="18.75" outlineLevel="2" x14ac:dyDescent="0.4">
      <c r="A5" s="156"/>
      <c r="B5" s="63" t="s">
        <v>58</v>
      </c>
      <c r="C5" s="64">
        <f t="shared" si="0"/>
        <v>15</v>
      </c>
      <c r="D5" s="65">
        <v>0</v>
      </c>
      <c r="E5" s="65">
        <v>0</v>
      </c>
      <c r="F5" s="65">
        <v>0</v>
      </c>
      <c r="G5" s="65">
        <f t="shared" ref="G5:O5" si="3">G6</f>
        <v>1</v>
      </c>
      <c r="H5" s="65">
        <f t="shared" si="3"/>
        <v>1</v>
      </c>
      <c r="I5" s="65">
        <f t="shared" si="3"/>
        <v>2</v>
      </c>
      <c r="J5" s="65">
        <f t="shared" si="3"/>
        <v>1</v>
      </c>
      <c r="K5" s="65">
        <f t="shared" si="3"/>
        <v>2</v>
      </c>
      <c r="L5" s="65">
        <f t="shared" si="3"/>
        <v>2</v>
      </c>
      <c r="M5" s="65">
        <f t="shared" si="3"/>
        <v>2</v>
      </c>
      <c r="N5" s="65">
        <f t="shared" si="3"/>
        <v>2</v>
      </c>
      <c r="O5" s="65">
        <f t="shared" si="3"/>
        <v>2</v>
      </c>
      <c r="P5" s="64">
        <f t="shared" si="1"/>
        <v>41</v>
      </c>
      <c r="Q5" s="65">
        <f t="shared" ref="Q5:AB5" si="4">Q6</f>
        <v>3</v>
      </c>
      <c r="R5" s="65">
        <f t="shared" si="4"/>
        <v>3</v>
      </c>
      <c r="S5" s="65">
        <f t="shared" si="4"/>
        <v>3</v>
      </c>
      <c r="T5" s="65">
        <f t="shared" si="4"/>
        <v>3</v>
      </c>
      <c r="U5" s="65">
        <f t="shared" si="4"/>
        <v>3</v>
      </c>
      <c r="V5" s="65">
        <f t="shared" si="4"/>
        <v>2</v>
      </c>
      <c r="W5" s="65">
        <f t="shared" si="4"/>
        <v>3</v>
      </c>
      <c r="X5" s="65">
        <f t="shared" si="4"/>
        <v>3</v>
      </c>
      <c r="Y5" s="65">
        <f t="shared" si="4"/>
        <v>4</v>
      </c>
      <c r="Z5" s="65">
        <f t="shared" si="4"/>
        <v>4</v>
      </c>
      <c r="AA5" s="65">
        <f t="shared" si="4"/>
        <v>5</v>
      </c>
      <c r="AB5" s="65">
        <f t="shared" si="4"/>
        <v>5</v>
      </c>
      <c r="AC5" s="64">
        <f t="shared" si="2"/>
        <v>144</v>
      </c>
      <c r="AD5" s="65">
        <f t="shared" ref="AD5:AO5" si="5">AD6</f>
        <v>5</v>
      </c>
      <c r="AE5" s="65">
        <f t="shared" si="5"/>
        <v>6</v>
      </c>
      <c r="AF5" s="65">
        <f t="shared" si="5"/>
        <v>7</v>
      </c>
      <c r="AG5" s="65">
        <f t="shared" si="5"/>
        <v>7</v>
      </c>
      <c r="AH5" s="65">
        <f t="shared" si="5"/>
        <v>9</v>
      </c>
      <c r="AI5" s="65">
        <f t="shared" si="5"/>
        <v>10</v>
      </c>
      <c r="AJ5" s="65">
        <f t="shared" si="5"/>
        <v>12</v>
      </c>
      <c r="AK5" s="65">
        <f t="shared" si="5"/>
        <v>13</v>
      </c>
      <c r="AL5" s="65">
        <f t="shared" si="5"/>
        <v>15</v>
      </c>
      <c r="AM5" s="65">
        <f t="shared" si="5"/>
        <v>17</v>
      </c>
      <c r="AN5" s="65">
        <f t="shared" si="5"/>
        <v>20</v>
      </c>
      <c r="AO5" s="65">
        <f t="shared" si="5"/>
        <v>23</v>
      </c>
    </row>
    <row r="6" spans="1:41" ht="17.25" outlineLevel="2" x14ac:dyDescent="0.3">
      <c r="A6" s="159" t="s">
        <v>14</v>
      </c>
      <c r="B6" s="66">
        <v>0</v>
      </c>
      <c r="C6" s="67">
        <f t="shared" si="0"/>
        <v>15</v>
      </c>
      <c r="D6" s="67">
        <f t="shared" ref="D6:F6" si="6">D5</f>
        <v>0</v>
      </c>
      <c r="E6" s="67">
        <f t="shared" si="6"/>
        <v>0</v>
      </c>
      <c r="F6" s="67">
        <f t="shared" si="6"/>
        <v>0</v>
      </c>
      <c r="G6" s="67">
        <v>1</v>
      </c>
      <c r="H6" s="67">
        <v>1</v>
      </c>
      <c r="I6" s="67">
        <v>2</v>
      </c>
      <c r="J6" s="67">
        <v>1</v>
      </c>
      <c r="K6" s="67">
        <v>2</v>
      </c>
      <c r="L6" s="67">
        <v>2</v>
      </c>
      <c r="M6" s="67">
        <v>2</v>
      </c>
      <c r="N6" s="67">
        <v>2</v>
      </c>
      <c r="O6" s="67">
        <v>2</v>
      </c>
      <c r="P6" s="67">
        <f t="shared" si="1"/>
        <v>41</v>
      </c>
      <c r="Q6" s="67">
        <v>3</v>
      </c>
      <c r="R6" s="67">
        <v>3</v>
      </c>
      <c r="S6" s="67">
        <v>3</v>
      </c>
      <c r="T6" s="67">
        <v>3</v>
      </c>
      <c r="U6" s="67">
        <v>3</v>
      </c>
      <c r="V6" s="67">
        <v>2</v>
      </c>
      <c r="W6" s="67">
        <v>3</v>
      </c>
      <c r="X6" s="67">
        <v>3</v>
      </c>
      <c r="Y6" s="67">
        <v>4</v>
      </c>
      <c r="Z6" s="67">
        <v>4</v>
      </c>
      <c r="AA6" s="67">
        <v>5</v>
      </c>
      <c r="AB6" s="67">
        <v>5</v>
      </c>
      <c r="AC6" s="67">
        <f t="shared" si="2"/>
        <v>144</v>
      </c>
      <c r="AD6" s="67">
        <v>5</v>
      </c>
      <c r="AE6" s="67">
        <v>6</v>
      </c>
      <c r="AF6" s="67">
        <v>7</v>
      </c>
      <c r="AG6" s="67">
        <v>7</v>
      </c>
      <c r="AH6" s="67">
        <v>9</v>
      </c>
      <c r="AI6" s="67">
        <v>10</v>
      </c>
      <c r="AJ6" s="67">
        <v>12</v>
      </c>
      <c r="AK6" s="67">
        <v>13</v>
      </c>
      <c r="AL6" s="67">
        <v>15</v>
      </c>
      <c r="AM6" s="67">
        <v>17</v>
      </c>
      <c r="AN6" s="67">
        <v>20</v>
      </c>
      <c r="AO6" s="67">
        <v>23</v>
      </c>
    </row>
    <row r="7" spans="1:41" ht="17.25" outlineLevel="2" x14ac:dyDescent="0.3">
      <c r="A7" s="160"/>
      <c r="B7" s="68" t="s">
        <v>59</v>
      </c>
      <c r="C7" s="69">
        <f>C6*'КАЛЬКУЛЯЦИЯ ПАРТИИ ТОВАРОВ'!$E$5</f>
        <v>675000000</v>
      </c>
      <c r="D7" s="67">
        <f>D6*'КАЛЬКУЛЯЦИЯ ПАРТИИ ТОВАРОВ'!$E$5</f>
        <v>0</v>
      </c>
      <c r="E7" s="67">
        <f>E6*'КАЛЬКУЛЯЦИЯ ПАРТИИ ТОВАРОВ'!$E$5</f>
        <v>0</v>
      </c>
      <c r="F7" s="67">
        <f>F6*'КАЛЬКУЛЯЦИЯ ПАРТИИ ТОВАРОВ'!$E$5</f>
        <v>0</v>
      </c>
      <c r="G7" s="67">
        <f>G6*'КАЛЬКУЛЯЦИЯ ПАРТИИ ТОВАРОВ'!$E$5</f>
        <v>45000000</v>
      </c>
      <c r="H7" s="67">
        <f>H6*'КАЛЬКУЛЯЦИЯ ПАРТИИ ТОВАРОВ'!$E$5</f>
        <v>45000000</v>
      </c>
      <c r="I7" s="67">
        <f>I6*'КАЛЬКУЛЯЦИЯ ПАРТИИ ТОВАРОВ'!$E$5</f>
        <v>90000000</v>
      </c>
      <c r="J7" s="67">
        <f>J6*'КАЛЬКУЛЯЦИЯ ПАРТИИ ТОВАРОВ'!$E$5</f>
        <v>45000000</v>
      </c>
      <c r="K7" s="67">
        <f>K6*'КАЛЬКУЛЯЦИЯ ПАРТИИ ТОВАРОВ'!$E$5</f>
        <v>90000000</v>
      </c>
      <c r="L7" s="67">
        <f>L6*'КАЛЬКУЛЯЦИЯ ПАРТИИ ТОВАРОВ'!$E$5</f>
        <v>90000000</v>
      </c>
      <c r="M7" s="67">
        <f>M6*'КАЛЬКУЛЯЦИЯ ПАРТИИ ТОВАРОВ'!$E$5</f>
        <v>90000000</v>
      </c>
      <c r="N7" s="67">
        <f>N6*'КАЛЬКУЛЯЦИЯ ПАРТИИ ТОВАРОВ'!$E$5</f>
        <v>90000000</v>
      </c>
      <c r="O7" s="67">
        <f>O6*'КАЛЬКУЛЯЦИЯ ПАРТИИ ТОВАРОВ'!$E$5</f>
        <v>90000000</v>
      </c>
      <c r="P7" s="69">
        <f>P6*'КАЛЬКУЛЯЦИЯ ПАРТИИ ТОВАРОВ'!$E$5</f>
        <v>1845000000</v>
      </c>
      <c r="Q7" s="67">
        <f>Q6*'КАЛЬКУЛЯЦИЯ ПАРТИИ ТОВАРОВ'!$E$5</f>
        <v>135000000</v>
      </c>
      <c r="R7" s="67">
        <f>R6*'КАЛЬКУЛЯЦИЯ ПАРТИИ ТОВАРОВ'!$E$5</f>
        <v>135000000</v>
      </c>
      <c r="S7" s="67">
        <f>S6*'КАЛЬКУЛЯЦИЯ ПАРТИИ ТОВАРОВ'!$E$5</f>
        <v>135000000</v>
      </c>
      <c r="T7" s="67">
        <f>T6*'КАЛЬКУЛЯЦИЯ ПАРТИИ ТОВАРОВ'!$E$5</f>
        <v>135000000</v>
      </c>
      <c r="U7" s="67">
        <f>U6*'КАЛЬКУЛЯЦИЯ ПАРТИИ ТОВАРОВ'!$E$5</f>
        <v>135000000</v>
      </c>
      <c r="V7" s="67">
        <f>V6*'КАЛЬКУЛЯЦИЯ ПАРТИИ ТОВАРОВ'!$E$5</f>
        <v>90000000</v>
      </c>
      <c r="W7" s="67">
        <f>W6*'КАЛЬКУЛЯЦИЯ ПАРТИИ ТОВАРОВ'!$E$5</f>
        <v>135000000</v>
      </c>
      <c r="X7" s="67">
        <f>X6*'КАЛЬКУЛЯЦИЯ ПАРТИИ ТОВАРОВ'!$E$5</f>
        <v>135000000</v>
      </c>
      <c r="Y7" s="67">
        <f>Y6*'КАЛЬКУЛЯЦИЯ ПАРТИИ ТОВАРОВ'!$E$5</f>
        <v>180000000</v>
      </c>
      <c r="Z7" s="67">
        <f>Z6*'КАЛЬКУЛЯЦИЯ ПАРТИИ ТОВАРОВ'!$E$5</f>
        <v>180000000</v>
      </c>
      <c r="AA7" s="67">
        <f>AA6*'КАЛЬКУЛЯЦИЯ ПАРТИИ ТОВАРОВ'!$E$5</f>
        <v>225000000</v>
      </c>
      <c r="AB7" s="67">
        <f>AB6*'КАЛЬКУЛЯЦИЯ ПАРТИИ ТОВАРОВ'!$E$5</f>
        <v>225000000</v>
      </c>
      <c r="AC7" s="69">
        <f>AC6*'КАЛЬКУЛЯЦИЯ ПАРТИИ ТОВАРОВ'!$E$5</f>
        <v>6480000000</v>
      </c>
      <c r="AD7" s="67">
        <f>AD6*'КАЛЬКУЛЯЦИЯ ПАРТИИ ТОВАРОВ'!$E$5</f>
        <v>225000000</v>
      </c>
      <c r="AE7" s="67">
        <f>AE6*'КАЛЬКУЛЯЦИЯ ПАРТИИ ТОВАРОВ'!$E$5</f>
        <v>270000000</v>
      </c>
      <c r="AF7" s="67">
        <f>AF6*'КАЛЬКУЛЯЦИЯ ПАРТИИ ТОВАРОВ'!$E$5</f>
        <v>315000000</v>
      </c>
      <c r="AG7" s="67">
        <f>AG6*'КАЛЬКУЛЯЦИЯ ПАРТИИ ТОВАРОВ'!$E$5</f>
        <v>315000000</v>
      </c>
      <c r="AH7" s="67">
        <f>AH6*'КАЛЬКУЛЯЦИЯ ПАРТИИ ТОВАРОВ'!$E$5</f>
        <v>405000000</v>
      </c>
      <c r="AI7" s="67">
        <f>AI6*'КАЛЬКУЛЯЦИЯ ПАРТИИ ТОВАРОВ'!$E$5</f>
        <v>450000000</v>
      </c>
      <c r="AJ7" s="67">
        <f>AJ6*'КАЛЬКУЛЯЦИЯ ПАРТИИ ТОВАРОВ'!$E$5</f>
        <v>540000000</v>
      </c>
      <c r="AK7" s="67">
        <f>AK6*'КАЛЬКУЛЯЦИЯ ПАРТИИ ТОВАРОВ'!$E$5</f>
        <v>585000000</v>
      </c>
      <c r="AL7" s="67">
        <f>AL6*'КАЛЬКУЛЯЦИЯ ПАРТИИ ТОВАРОВ'!$E$5</f>
        <v>675000000</v>
      </c>
      <c r="AM7" s="67">
        <f>AM6*'КАЛЬКУЛЯЦИЯ ПАРТИИ ТОВАРОВ'!$E$5</f>
        <v>765000000</v>
      </c>
      <c r="AN7" s="67">
        <f>AN6*'КАЛЬКУЛЯЦИЯ ПАРТИИ ТОВАРОВ'!$E$5</f>
        <v>900000000</v>
      </c>
      <c r="AO7" s="67">
        <f>AO6*'КАЛЬКУЛЯЦИЯ ПАРТИИ ТОВАРОВ'!$E$5</f>
        <v>1035000000</v>
      </c>
    </row>
    <row r="8" spans="1:41" ht="17.25" outlineLevel="1" x14ac:dyDescent="0.3">
      <c r="A8" s="70" t="s">
        <v>60</v>
      </c>
      <c r="B8" s="19"/>
      <c r="C8" s="19"/>
      <c r="D8" s="19"/>
      <c r="E8" s="71">
        <f>'CASH FLOW'!E53</f>
        <v>0</v>
      </c>
      <c r="F8" s="71">
        <f>'CASH FLOW'!F53</f>
        <v>0</v>
      </c>
      <c r="G8" s="71">
        <f>'CASH FLOW'!G53</f>
        <v>6528000</v>
      </c>
      <c r="H8" s="71">
        <f>'CASH FLOW'!H53</f>
        <v>43543682.013439991</v>
      </c>
      <c r="I8" s="71">
        <f>'CASH FLOW'!I53</f>
        <v>67437711.360639989</v>
      </c>
      <c r="J8" s="71">
        <f>'CASH FLOW'!J53</f>
        <v>110503252.44671997</v>
      </c>
      <c r="K8" s="71">
        <f>'CASH FLOW'!K53</f>
        <v>112111549.40223998</v>
      </c>
      <c r="L8" s="71">
        <f>'CASH FLOW'!L53</f>
        <v>98533840.488319948</v>
      </c>
      <c r="M8" s="71">
        <f>'CASH FLOW'!M53</f>
        <v>130295399.18271995</v>
      </c>
      <c r="N8" s="71">
        <f>'CASH FLOW'!N53</f>
        <v>162275707.87711996</v>
      </c>
      <c r="O8" s="71">
        <f>'CASH FLOW'!O53</f>
        <v>194256016.57151997</v>
      </c>
      <c r="P8" s="19"/>
      <c r="Q8" s="71">
        <f>'CASH FLOW'!Q53</f>
        <v>176439018.40191996</v>
      </c>
      <c r="R8" s="71">
        <f>'CASH FLOW'!R53</f>
        <v>192004480.59839997</v>
      </c>
      <c r="S8" s="71">
        <f>'CASH FLOW'!S53</f>
        <v>257774883.34399992</v>
      </c>
      <c r="T8" s="71">
        <f>'CASH FLOW'!T53</f>
        <v>261321829.22559988</v>
      </c>
      <c r="U8" s="71">
        <f>'CASH FLOW'!U53</f>
        <v>269868775.10719985</v>
      </c>
      <c r="V8" s="71">
        <f>'CASH FLOW'!V53</f>
        <v>337527720.98879981</v>
      </c>
      <c r="W8" s="71">
        <f>'CASH FLOW'!W53</f>
        <v>368690663.36831975</v>
      </c>
      <c r="X8" s="71">
        <f>'CASH FLOW'!X53</f>
        <v>383118625.56479979</v>
      </c>
      <c r="Y8" s="71">
        <f>'CASH FLOW'!Y53</f>
        <v>389089528.31039977</v>
      </c>
      <c r="Z8" s="71">
        <f>'CASH FLOW'!Z53</f>
        <v>428530391.42207974</v>
      </c>
      <c r="AA8" s="71">
        <f>'CASH FLOW'!AA53</f>
        <v>459514195.08287972</v>
      </c>
      <c r="AB8" s="71">
        <f>'CASH FLOW'!AB53</f>
        <v>523967959.10975969</v>
      </c>
      <c r="AC8" s="19"/>
      <c r="AD8" s="71">
        <f>'CASH FLOW'!AD53</f>
        <v>224952878.43199986</v>
      </c>
      <c r="AE8" s="71">
        <f>'CASH FLOW'!AE53</f>
        <v>267658513.72799981</v>
      </c>
      <c r="AF8" s="71">
        <f>'CASH FLOW'!AF53</f>
        <v>284545759.84767979</v>
      </c>
      <c r="AG8" s="71">
        <f>'CASH FLOW'!AG53</f>
        <v>382979533.02655983</v>
      </c>
      <c r="AH8" s="71">
        <f>'CASH FLOW'!AH53</f>
        <v>413467222.44095975</v>
      </c>
      <c r="AI8" s="71">
        <f>'CASH FLOW'!AI53</f>
        <v>450755133.50271982</v>
      </c>
      <c r="AJ8" s="71">
        <f>'CASH FLOW'!AJ53</f>
        <v>501643487.85919982</v>
      </c>
      <c r="AK8" s="71">
        <f>'CASH FLOW'!AK53</f>
        <v>608259980.09855974</v>
      </c>
      <c r="AL8" s="71">
        <f>'CASH FLOW'!AL53</f>
        <v>728476915.63263953</v>
      </c>
      <c r="AM8" s="71">
        <f>'CASH FLOW'!AM53</f>
        <v>845984989.04959941</v>
      </c>
      <c r="AN8" s="71">
        <f>'CASH FLOW'!AN53</f>
        <v>951275116.58495939</v>
      </c>
      <c r="AO8" s="71">
        <f>'CASH FLOW'!AO53</f>
        <v>1076965909.0623991</v>
      </c>
    </row>
    <row r="9" spans="1:41" ht="27.75" customHeight="1" outlineLevel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0.75" customHeight="1" outlineLevel="1" x14ac:dyDescent="0.45">
      <c r="A10" s="55" t="s">
        <v>61</v>
      </c>
      <c r="B10" s="2"/>
      <c r="C10" s="2"/>
      <c r="D10" s="2"/>
      <c r="E10" s="2"/>
      <c r="F10" s="2"/>
      <c r="G10" s="2"/>
      <c r="H10" s="2"/>
      <c r="I10" s="2"/>
      <c r="J10" s="2"/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4"/>
      <c r="Y10" s="4"/>
      <c r="Z10" s="4"/>
      <c r="AA10" s="4"/>
      <c r="AB10" s="4"/>
      <c r="AC10" s="2"/>
      <c r="AD10" s="2"/>
      <c r="AE10" s="2"/>
      <c r="AF10" s="2"/>
      <c r="AG10" s="2"/>
      <c r="AH10" s="2"/>
      <c r="AI10" s="2"/>
      <c r="AJ10" s="2"/>
      <c r="AK10" s="4"/>
      <c r="AL10" s="4"/>
      <c r="AM10" s="4"/>
      <c r="AN10" s="4"/>
      <c r="AO10" s="4"/>
    </row>
    <row r="11" spans="1:41" ht="21" outlineLevel="2" x14ac:dyDescent="0.4">
      <c r="A11" s="155" t="s">
        <v>62</v>
      </c>
      <c r="B11" s="56"/>
      <c r="C11" s="57">
        <v>45291</v>
      </c>
      <c r="D11" s="58">
        <v>44927</v>
      </c>
      <c r="E11" s="58">
        <v>44958</v>
      </c>
      <c r="F11" s="58">
        <v>44986</v>
      </c>
      <c r="G11" s="58">
        <v>45017</v>
      </c>
      <c r="H11" s="58">
        <v>45047</v>
      </c>
      <c r="I11" s="58">
        <v>45078</v>
      </c>
      <c r="J11" s="58">
        <v>45108</v>
      </c>
      <c r="K11" s="58">
        <v>45139</v>
      </c>
      <c r="L11" s="58">
        <v>45170</v>
      </c>
      <c r="M11" s="58">
        <v>45200</v>
      </c>
      <c r="N11" s="58">
        <v>45231</v>
      </c>
      <c r="O11" s="59">
        <v>45261</v>
      </c>
      <c r="P11" s="57">
        <v>45657</v>
      </c>
      <c r="Q11" s="60">
        <v>45292</v>
      </c>
      <c r="R11" s="60">
        <v>45323</v>
      </c>
      <c r="S11" s="60">
        <v>45352</v>
      </c>
      <c r="T11" s="60">
        <v>45383</v>
      </c>
      <c r="U11" s="60">
        <v>45413</v>
      </c>
      <c r="V11" s="60">
        <v>45444</v>
      </c>
      <c r="W11" s="60">
        <v>45474</v>
      </c>
      <c r="X11" s="60">
        <v>45505</v>
      </c>
      <c r="Y11" s="60">
        <v>45536</v>
      </c>
      <c r="Z11" s="60">
        <v>45566</v>
      </c>
      <c r="AA11" s="60">
        <v>45597</v>
      </c>
      <c r="AB11" s="60">
        <v>45627</v>
      </c>
      <c r="AC11" s="57">
        <v>46022</v>
      </c>
      <c r="AD11" s="60">
        <v>45658</v>
      </c>
      <c r="AE11" s="60">
        <v>45689</v>
      </c>
      <c r="AF11" s="60">
        <v>45717</v>
      </c>
      <c r="AG11" s="60">
        <v>45748</v>
      </c>
      <c r="AH11" s="60">
        <v>45778</v>
      </c>
      <c r="AI11" s="60">
        <v>45809</v>
      </c>
      <c r="AJ11" s="60">
        <v>45839</v>
      </c>
      <c r="AK11" s="60">
        <v>45870</v>
      </c>
      <c r="AL11" s="60">
        <v>45901</v>
      </c>
      <c r="AM11" s="60">
        <v>45931</v>
      </c>
      <c r="AN11" s="60">
        <v>45962</v>
      </c>
      <c r="AO11" s="60">
        <v>45992</v>
      </c>
    </row>
    <row r="12" spans="1:41" ht="18.75" outlineLevel="2" x14ac:dyDescent="0.4">
      <c r="A12" s="156"/>
      <c r="B12" s="63" t="s">
        <v>58</v>
      </c>
      <c r="C12" s="64">
        <f t="shared" ref="C12:C14" si="7">SUM(D12:O12)</f>
        <v>15</v>
      </c>
      <c r="D12" s="72">
        <f t="shared" ref="D12:O12" si="8">D13</f>
        <v>0</v>
      </c>
      <c r="E12" s="72">
        <f t="shared" si="8"/>
        <v>0</v>
      </c>
      <c r="F12" s="72">
        <f t="shared" si="8"/>
        <v>0</v>
      </c>
      <c r="G12" s="72">
        <f t="shared" si="8"/>
        <v>1</v>
      </c>
      <c r="H12" s="72">
        <f t="shared" si="8"/>
        <v>1</v>
      </c>
      <c r="I12" s="72">
        <f t="shared" si="8"/>
        <v>2</v>
      </c>
      <c r="J12" s="72">
        <f t="shared" si="8"/>
        <v>1</v>
      </c>
      <c r="K12" s="72">
        <f t="shared" si="8"/>
        <v>2</v>
      </c>
      <c r="L12" s="72">
        <f t="shared" si="8"/>
        <v>2</v>
      </c>
      <c r="M12" s="72">
        <f t="shared" si="8"/>
        <v>2</v>
      </c>
      <c r="N12" s="72">
        <f t="shared" si="8"/>
        <v>2</v>
      </c>
      <c r="O12" s="72">
        <f t="shared" si="8"/>
        <v>2</v>
      </c>
      <c r="P12" s="64">
        <f t="shared" ref="P12:P13" si="9">SUM(Q12:AB12)</f>
        <v>41</v>
      </c>
      <c r="Q12" s="72">
        <f t="shared" ref="Q12:AB12" si="10">Q13</f>
        <v>3</v>
      </c>
      <c r="R12" s="72">
        <f t="shared" si="10"/>
        <v>3</v>
      </c>
      <c r="S12" s="72">
        <f t="shared" si="10"/>
        <v>3</v>
      </c>
      <c r="T12" s="72">
        <f t="shared" si="10"/>
        <v>3</v>
      </c>
      <c r="U12" s="72">
        <f t="shared" si="10"/>
        <v>3</v>
      </c>
      <c r="V12" s="72">
        <f t="shared" si="10"/>
        <v>2</v>
      </c>
      <c r="W12" s="72">
        <f t="shared" si="10"/>
        <v>3</v>
      </c>
      <c r="X12" s="72">
        <f t="shared" si="10"/>
        <v>3</v>
      </c>
      <c r="Y12" s="72">
        <f t="shared" si="10"/>
        <v>4</v>
      </c>
      <c r="Z12" s="72">
        <f t="shared" si="10"/>
        <v>4</v>
      </c>
      <c r="AA12" s="72">
        <f t="shared" si="10"/>
        <v>5</v>
      </c>
      <c r="AB12" s="72">
        <f t="shared" si="10"/>
        <v>5</v>
      </c>
      <c r="AC12" s="64">
        <f t="shared" ref="AC12:AC13" si="11">SUM(AD12:AO12)</f>
        <v>144</v>
      </c>
      <c r="AD12" s="72">
        <f t="shared" ref="AD12:AO12" si="12">AD13</f>
        <v>5</v>
      </c>
      <c r="AE12" s="72">
        <f t="shared" si="12"/>
        <v>6</v>
      </c>
      <c r="AF12" s="72">
        <f t="shared" si="12"/>
        <v>7</v>
      </c>
      <c r="AG12" s="72">
        <f t="shared" si="12"/>
        <v>7</v>
      </c>
      <c r="AH12" s="72">
        <f t="shared" si="12"/>
        <v>9</v>
      </c>
      <c r="AI12" s="72">
        <f t="shared" si="12"/>
        <v>10</v>
      </c>
      <c r="AJ12" s="72">
        <f t="shared" si="12"/>
        <v>12</v>
      </c>
      <c r="AK12" s="72">
        <f t="shared" si="12"/>
        <v>13</v>
      </c>
      <c r="AL12" s="72">
        <f t="shared" si="12"/>
        <v>15</v>
      </c>
      <c r="AM12" s="72">
        <f t="shared" si="12"/>
        <v>17</v>
      </c>
      <c r="AN12" s="72">
        <f t="shared" si="12"/>
        <v>20</v>
      </c>
      <c r="AO12" s="72">
        <f t="shared" si="12"/>
        <v>23</v>
      </c>
    </row>
    <row r="13" spans="1:41" ht="17.25" outlineLevel="2" x14ac:dyDescent="0.3">
      <c r="A13" s="159" t="s">
        <v>14</v>
      </c>
      <c r="B13" s="66" t="s">
        <v>63</v>
      </c>
      <c r="C13" s="67">
        <f t="shared" si="7"/>
        <v>15</v>
      </c>
      <c r="D13" s="67">
        <f t="shared" ref="D13:O13" si="13">D6</f>
        <v>0</v>
      </c>
      <c r="E13" s="67">
        <f t="shared" si="13"/>
        <v>0</v>
      </c>
      <c r="F13" s="67">
        <f t="shared" si="13"/>
        <v>0</v>
      </c>
      <c r="G13" s="67">
        <f t="shared" si="13"/>
        <v>1</v>
      </c>
      <c r="H13" s="67">
        <f t="shared" si="13"/>
        <v>1</v>
      </c>
      <c r="I13" s="67">
        <f t="shared" si="13"/>
        <v>2</v>
      </c>
      <c r="J13" s="67">
        <f t="shared" si="13"/>
        <v>1</v>
      </c>
      <c r="K13" s="67">
        <f t="shared" si="13"/>
        <v>2</v>
      </c>
      <c r="L13" s="67">
        <f t="shared" si="13"/>
        <v>2</v>
      </c>
      <c r="M13" s="67">
        <f t="shared" si="13"/>
        <v>2</v>
      </c>
      <c r="N13" s="67">
        <f t="shared" si="13"/>
        <v>2</v>
      </c>
      <c r="O13" s="67">
        <f t="shared" si="13"/>
        <v>2</v>
      </c>
      <c r="P13" s="67">
        <f t="shared" si="9"/>
        <v>41</v>
      </c>
      <c r="Q13" s="67">
        <f t="shared" ref="Q13:AB13" si="14">Q6</f>
        <v>3</v>
      </c>
      <c r="R13" s="67">
        <f t="shared" si="14"/>
        <v>3</v>
      </c>
      <c r="S13" s="67">
        <f t="shared" si="14"/>
        <v>3</v>
      </c>
      <c r="T13" s="67">
        <f t="shared" si="14"/>
        <v>3</v>
      </c>
      <c r="U13" s="67">
        <f t="shared" si="14"/>
        <v>3</v>
      </c>
      <c r="V13" s="67">
        <f t="shared" si="14"/>
        <v>2</v>
      </c>
      <c r="W13" s="67">
        <f t="shared" si="14"/>
        <v>3</v>
      </c>
      <c r="X13" s="67">
        <f t="shared" si="14"/>
        <v>3</v>
      </c>
      <c r="Y13" s="67">
        <f t="shared" si="14"/>
        <v>4</v>
      </c>
      <c r="Z13" s="67">
        <f t="shared" si="14"/>
        <v>4</v>
      </c>
      <c r="AA13" s="67">
        <f t="shared" si="14"/>
        <v>5</v>
      </c>
      <c r="AB13" s="67">
        <f t="shared" si="14"/>
        <v>5</v>
      </c>
      <c r="AC13" s="67">
        <f t="shared" si="11"/>
        <v>144</v>
      </c>
      <c r="AD13" s="67">
        <f t="shared" ref="AD13:AO13" si="15">AD6</f>
        <v>5</v>
      </c>
      <c r="AE13" s="67">
        <f t="shared" si="15"/>
        <v>6</v>
      </c>
      <c r="AF13" s="67">
        <f t="shared" si="15"/>
        <v>7</v>
      </c>
      <c r="AG13" s="67">
        <f t="shared" si="15"/>
        <v>7</v>
      </c>
      <c r="AH13" s="67">
        <f t="shared" si="15"/>
        <v>9</v>
      </c>
      <c r="AI13" s="67">
        <f t="shared" si="15"/>
        <v>10</v>
      </c>
      <c r="AJ13" s="67">
        <f t="shared" si="15"/>
        <v>12</v>
      </c>
      <c r="AK13" s="67">
        <f t="shared" si="15"/>
        <v>13</v>
      </c>
      <c r="AL13" s="67">
        <f t="shared" si="15"/>
        <v>15</v>
      </c>
      <c r="AM13" s="67">
        <f t="shared" si="15"/>
        <v>17</v>
      </c>
      <c r="AN13" s="67">
        <f t="shared" si="15"/>
        <v>20</v>
      </c>
      <c r="AO13" s="67">
        <f t="shared" si="15"/>
        <v>23</v>
      </c>
    </row>
    <row r="14" spans="1:41" ht="17.25" outlineLevel="2" x14ac:dyDescent="0.3">
      <c r="A14" s="160"/>
      <c r="B14" s="68" t="s">
        <v>64</v>
      </c>
      <c r="C14" s="73">
        <f t="shared" si="7"/>
        <v>675000000</v>
      </c>
      <c r="D14" s="67">
        <f t="shared" ref="D14:O14" si="16">D7</f>
        <v>0</v>
      </c>
      <c r="E14" s="67">
        <f t="shared" si="16"/>
        <v>0</v>
      </c>
      <c r="F14" s="67">
        <f t="shared" si="16"/>
        <v>0</v>
      </c>
      <c r="G14" s="67">
        <f t="shared" si="16"/>
        <v>45000000</v>
      </c>
      <c r="H14" s="67">
        <f t="shared" si="16"/>
        <v>45000000</v>
      </c>
      <c r="I14" s="67">
        <f t="shared" si="16"/>
        <v>90000000</v>
      </c>
      <c r="J14" s="67">
        <f t="shared" si="16"/>
        <v>45000000</v>
      </c>
      <c r="K14" s="67">
        <f t="shared" si="16"/>
        <v>90000000</v>
      </c>
      <c r="L14" s="67">
        <f t="shared" si="16"/>
        <v>90000000</v>
      </c>
      <c r="M14" s="67">
        <f t="shared" si="16"/>
        <v>90000000</v>
      </c>
      <c r="N14" s="67">
        <f t="shared" si="16"/>
        <v>90000000</v>
      </c>
      <c r="O14" s="67">
        <f t="shared" si="16"/>
        <v>90000000</v>
      </c>
      <c r="P14" s="73">
        <f>P13*'КАЛЬКУЛЯЦИЯ ПАРТИИ ТОВАРОВ'!$E$5</f>
        <v>1845000000</v>
      </c>
      <c r="Q14" s="67">
        <f t="shared" ref="Q14:AB14" si="17">Q7</f>
        <v>135000000</v>
      </c>
      <c r="R14" s="67">
        <f t="shared" si="17"/>
        <v>135000000</v>
      </c>
      <c r="S14" s="67">
        <f t="shared" si="17"/>
        <v>135000000</v>
      </c>
      <c r="T14" s="67">
        <f t="shared" si="17"/>
        <v>135000000</v>
      </c>
      <c r="U14" s="67">
        <f t="shared" si="17"/>
        <v>135000000</v>
      </c>
      <c r="V14" s="67">
        <f t="shared" si="17"/>
        <v>90000000</v>
      </c>
      <c r="W14" s="67">
        <f t="shared" si="17"/>
        <v>135000000</v>
      </c>
      <c r="X14" s="67">
        <f t="shared" si="17"/>
        <v>135000000</v>
      </c>
      <c r="Y14" s="67">
        <f t="shared" si="17"/>
        <v>180000000</v>
      </c>
      <c r="Z14" s="67">
        <f t="shared" si="17"/>
        <v>180000000</v>
      </c>
      <c r="AA14" s="67">
        <f t="shared" si="17"/>
        <v>225000000</v>
      </c>
      <c r="AB14" s="67">
        <f t="shared" si="17"/>
        <v>225000000</v>
      </c>
      <c r="AC14" s="73">
        <f>AC13*'КАЛЬКУЛЯЦИЯ ПАРТИИ ТОВАРОВ'!$E$5</f>
        <v>6480000000</v>
      </c>
      <c r="AD14" s="67">
        <f t="shared" ref="AD14:AO14" si="18">AD7</f>
        <v>225000000</v>
      </c>
      <c r="AE14" s="67">
        <f t="shared" si="18"/>
        <v>270000000</v>
      </c>
      <c r="AF14" s="67">
        <f t="shared" si="18"/>
        <v>315000000</v>
      </c>
      <c r="AG14" s="67">
        <f t="shared" si="18"/>
        <v>315000000</v>
      </c>
      <c r="AH14" s="67">
        <f t="shared" si="18"/>
        <v>405000000</v>
      </c>
      <c r="AI14" s="67">
        <f t="shared" si="18"/>
        <v>450000000</v>
      </c>
      <c r="AJ14" s="67">
        <f t="shared" si="18"/>
        <v>540000000</v>
      </c>
      <c r="AK14" s="67">
        <f t="shared" si="18"/>
        <v>585000000</v>
      </c>
      <c r="AL14" s="67">
        <f t="shared" si="18"/>
        <v>675000000</v>
      </c>
      <c r="AM14" s="67">
        <f t="shared" si="18"/>
        <v>765000000</v>
      </c>
      <c r="AN14" s="67">
        <f t="shared" si="18"/>
        <v>900000000</v>
      </c>
      <c r="AO14" s="67">
        <f t="shared" si="18"/>
        <v>1035000000</v>
      </c>
    </row>
    <row r="15" spans="1:41" ht="17.25" outlineLevel="1" x14ac:dyDescent="0.15">
      <c r="A15" s="7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28.5" customHeight="1" outlineLevel="1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7.5" customHeight="1" outlineLevel="1" x14ac:dyDescent="0.45">
      <c r="A17" s="55" t="s">
        <v>65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4"/>
      <c r="Y17" s="4"/>
      <c r="Z17" s="4"/>
      <c r="AA17" s="4"/>
      <c r="AB17" s="4"/>
      <c r="AC17" s="2"/>
      <c r="AD17" s="2"/>
      <c r="AE17" s="2"/>
      <c r="AF17" s="2"/>
      <c r="AG17" s="2"/>
      <c r="AH17" s="2"/>
      <c r="AI17" s="2"/>
      <c r="AJ17" s="2"/>
      <c r="AK17" s="4"/>
      <c r="AL17" s="4"/>
      <c r="AM17" s="4"/>
      <c r="AN17" s="4"/>
      <c r="AO17" s="4"/>
    </row>
    <row r="18" spans="1:41" ht="21" outlineLevel="2" x14ac:dyDescent="0.4">
      <c r="A18" s="155" t="s">
        <v>62</v>
      </c>
      <c r="B18" s="56"/>
      <c r="C18" s="57">
        <v>45291</v>
      </c>
      <c r="D18" s="58">
        <v>44927</v>
      </c>
      <c r="E18" s="58">
        <v>44958</v>
      </c>
      <c r="F18" s="58">
        <v>44986</v>
      </c>
      <c r="G18" s="58">
        <v>45017</v>
      </c>
      <c r="H18" s="58">
        <v>45047</v>
      </c>
      <c r="I18" s="58">
        <v>45078</v>
      </c>
      <c r="J18" s="58">
        <v>45108</v>
      </c>
      <c r="K18" s="58">
        <v>45139</v>
      </c>
      <c r="L18" s="58">
        <v>45170</v>
      </c>
      <c r="M18" s="58">
        <v>45200</v>
      </c>
      <c r="N18" s="58">
        <v>45231</v>
      </c>
      <c r="O18" s="59">
        <v>45261</v>
      </c>
      <c r="P18" s="57">
        <v>45657</v>
      </c>
      <c r="Q18" s="60">
        <v>45292</v>
      </c>
      <c r="R18" s="60">
        <v>45323</v>
      </c>
      <c r="S18" s="60">
        <v>45352</v>
      </c>
      <c r="T18" s="60">
        <v>45383</v>
      </c>
      <c r="U18" s="60">
        <v>45413</v>
      </c>
      <c r="V18" s="60">
        <v>45444</v>
      </c>
      <c r="W18" s="60">
        <v>45474</v>
      </c>
      <c r="X18" s="60">
        <v>45505</v>
      </c>
      <c r="Y18" s="60">
        <v>45536</v>
      </c>
      <c r="Z18" s="60">
        <v>45566</v>
      </c>
      <c r="AA18" s="60">
        <v>45597</v>
      </c>
      <c r="AB18" s="60">
        <v>45627</v>
      </c>
      <c r="AC18" s="57">
        <v>46022</v>
      </c>
      <c r="AD18" s="60">
        <v>45658</v>
      </c>
      <c r="AE18" s="60">
        <v>45689</v>
      </c>
      <c r="AF18" s="60">
        <v>45717</v>
      </c>
      <c r="AG18" s="60">
        <v>45748</v>
      </c>
      <c r="AH18" s="60">
        <v>45778</v>
      </c>
      <c r="AI18" s="60">
        <v>45809</v>
      </c>
      <c r="AJ18" s="60">
        <v>45839</v>
      </c>
      <c r="AK18" s="60">
        <v>45870</v>
      </c>
      <c r="AL18" s="60">
        <v>45901</v>
      </c>
      <c r="AM18" s="60">
        <v>45931</v>
      </c>
      <c r="AN18" s="60">
        <v>45962</v>
      </c>
      <c r="AO18" s="60">
        <v>45992</v>
      </c>
    </row>
    <row r="19" spans="1:41" ht="18.75" outlineLevel="2" x14ac:dyDescent="0.4">
      <c r="A19" s="156"/>
      <c r="B19" s="63" t="s">
        <v>58</v>
      </c>
      <c r="C19" s="64">
        <f t="shared" ref="C19:C21" si="19">SUM(D19:O19)</f>
        <v>675000000</v>
      </c>
      <c r="D19" s="72">
        <f t="shared" ref="D19:O19" si="20">D14</f>
        <v>0</v>
      </c>
      <c r="E19" s="72">
        <f t="shared" si="20"/>
        <v>0</v>
      </c>
      <c r="F19" s="72">
        <f t="shared" si="20"/>
        <v>0</v>
      </c>
      <c r="G19" s="72">
        <f t="shared" si="20"/>
        <v>45000000</v>
      </c>
      <c r="H19" s="72">
        <f t="shared" si="20"/>
        <v>45000000</v>
      </c>
      <c r="I19" s="72">
        <f t="shared" si="20"/>
        <v>90000000</v>
      </c>
      <c r="J19" s="72">
        <f t="shared" si="20"/>
        <v>45000000</v>
      </c>
      <c r="K19" s="72">
        <f t="shared" si="20"/>
        <v>90000000</v>
      </c>
      <c r="L19" s="72">
        <f t="shared" si="20"/>
        <v>90000000</v>
      </c>
      <c r="M19" s="72">
        <f t="shared" si="20"/>
        <v>90000000</v>
      </c>
      <c r="N19" s="72">
        <f t="shared" si="20"/>
        <v>90000000</v>
      </c>
      <c r="O19" s="72">
        <f t="shared" si="20"/>
        <v>90000000</v>
      </c>
      <c r="P19" s="64">
        <f t="shared" ref="P19:P21" si="21">SUM(Q19:AB19)</f>
        <v>1845000000</v>
      </c>
      <c r="Q19" s="72">
        <f t="shared" ref="Q19:AB19" si="22">Q14</f>
        <v>135000000</v>
      </c>
      <c r="R19" s="72">
        <f t="shared" si="22"/>
        <v>135000000</v>
      </c>
      <c r="S19" s="72">
        <f t="shared" si="22"/>
        <v>135000000</v>
      </c>
      <c r="T19" s="72">
        <f t="shared" si="22"/>
        <v>135000000</v>
      </c>
      <c r="U19" s="72">
        <f t="shared" si="22"/>
        <v>135000000</v>
      </c>
      <c r="V19" s="72">
        <f t="shared" si="22"/>
        <v>90000000</v>
      </c>
      <c r="W19" s="72">
        <f t="shared" si="22"/>
        <v>135000000</v>
      </c>
      <c r="X19" s="72">
        <f t="shared" si="22"/>
        <v>135000000</v>
      </c>
      <c r="Y19" s="72">
        <f t="shared" si="22"/>
        <v>180000000</v>
      </c>
      <c r="Z19" s="72">
        <f t="shared" si="22"/>
        <v>180000000</v>
      </c>
      <c r="AA19" s="72">
        <f t="shared" si="22"/>
        <v>225000000</v>
      </c>
      <c r="AB19" s="72">
        <f t="shared" si="22"/>
        <v>225000000</v>
      </c>
      <c r="AC19" s="64">
        <f t="shared" ref="AC19:AC21" si="23">SUM(AD19:AO19)</f>
        <v>6480000000</v>
      </c>
      <c r="AD19" s="72">
        <f t="shared" ref="AD19:AO19" si="24">AD14</f>
        <v>225000000</v>
      </c>
      <c r="AE19" s="72">
        <f t="shared" si="24"/>
        <v>270000000</v>
      </c>
      <c r="AF19" s="72">
        <f t="shared" si="24"/>
        <v>315000000</v>
      </c>
      <c r="AG19" s="72">
        <f t="shared" si="24"/>
        <v>315000000</v>
      </c>
      <c r="AH19" s="72">
        <f t="shared" si="24"/>
        <v>405000000</v>
      </c>
      <c r="AI19" s="72">
        <f t="shared" si="24"/>
        <v>450000000</v>
      </c>
      <c r="AJ19" s="72">
        <f t="shared" si="24"/>
        <v>540000000</v>
      </c>
      <c r="AK19" s="72">
        <f t="shared" si="24"/>
        <v>585000000</v>
      </c>
      <c r="AL19" s="72">
        <f t="shared" si="24"/>
        <v>675000000</v>
      </c>
      <c r="AM19" s="72">
        <f t="shared" si="24"/>
        <v>765000000</v>
      </c>
      <c r="AN19" s="72">
        <f t="shared" si="24"/>
        <v>900000000</v>
      </c>
      <c r="AO19" s="72">
        <f t="shared" si="24"/>
        <v>1035000000</v>
      </c>
    </row>
    <row r="20" spans="1:41" ht="17.25" outlineLevel="2" x14ac:dyDescent="0.3">
      <c r="A20" s="74" t="s">
        <v>66</v>
      </c>
      <c r="B20" s="13">
        <f>'КАЛЬКУЛЯЦИЯ ПАРТИИ ТОВАРОВ'!B15</f>
        <v>0.5</v>
      </c>
      <c r="C20" s="67">
        <f t="shared" si="19"/>
        <v>337500000</v>
      </c>
      <c r="D20" s="75">
        <f t="shared" ref="D20:O20" si="25">SUM(D21)</f>
        <v>0</v>
      </c>
      <c r="E20" s="75">
        <f t="shared" si="25"/>
        <v>0</v>
      </c>
      <c r="F20" s="75">
        <f t="shared" si="25"/>
        <v>0</v>
      </c>
      <c r="G20" s="75">
        <f t="shared" si="25"/>
        <v>22500000</v>
      </c>
      <c r="H20" s="75">
        <f t="shared" si="25"/>
        <v>22500000</v>
      </c>
      <c r="I20" s="75">
        <f t="shared" si="25"/>
        <v>45000000</v>
      </c>
      <c r="J20" s="75">
        <f t="shared" si="25"/>
        <v>22500000</v>
      </c>
      <c r="K20" s="75">
        <f t="shared" si="25"/>
        <v>45000000</v>
      </c>
      <c r="L20" s="75">
        <f t="shared" si="25"/>
        <v>45000000</v>
      </c>
      <c r="M20" s="75">
        <f t="shared" si="25"/>
        <v>45000000</v>
      </c>
      <c r="N20" s="75">
        <f t="shared" si="25"/>
        <v>45000000</v>
      </c>
      <c r="O20" s="76">
        <f t="shared" si="25"/>
        <v>45000000</v>
      </c>
      <c r="P20" s="67">
        <f t="shared" si="21"/>
        <v>922500000</v>
      </c>
      <c r="Q20" s="75">
        <f t="shared" ref="Q20:AB20" si="26">SUM(Q21)</f>
        <v>67500000</v>
      </c>
      <c r="R20" s="75">
        <f t="shared" si="26"/>
        <v>67500000</v>
      </c>
      <c r="S20" s="75">
        <f t="shared" si="26"/>
        <v>67500000</v>
      </c>
      <c r="T20" s="75">
        <f t="shared" si="26"/>
        <v>67500000</v>
      </c>
      <c r="U20" s="75">
        <f t="shared" si="26"/>
        <v>67500000</v>
      </c>
      <c r="V20" s="75">
        <f t="shared" si="26"/>
        <v>45000000</v>
      </c>
      <c r="W20" s="75">
        <f t="shared" si="26"/>
        <v>67500000</v>
      </c>
      <c r="X20" s="75">
        <f t="shared" si="26"/>
        <v>67500000</v>
      </c>
      <c r="Y20" s="75">
        <f t="shared" si="26"/>
        <v>90000000</v>
      </c>
      <c r="Z20" s="75">
        <f t="shared" si="26"/>
        <v>90000000</v>
      </c>
      <c r="AA20" s="75">
        <f t="shared" si="26"/>
        <v>112500000</v>
      </c>
      <c r="AB20" s="76">
        <f t="shared" si="26"/>
        <v>112500000</v>
      </c>
      <c r="AC20" s="67">
        <f t="shared" si="23"/>
        <v>3240000000</v>
      </c>
      <c r="AD20" s="75">
        <f t="shared" ref="AD20:AO20" si="27">SUM(AD21)</f>
        <v>112500000</v>
      </c>
      <c r="AE20" s="75">
        <f t="shared" si="27"/>
        <v>135000000</v>
      </c>
      <c r="AF20" s="75">
        <f t="shared" si="27"/>
        <v>157500000</v>
      </c>
      <c r="AG20" s="75">
        <f t="shared" si="27"/>
        <v>157500000</v>
      </c>
      <c r="AH20" s="75">
        <f t="shared" si="27"/>
        <v>202500000</v>
      </c>
      <c r="AI20" s="75">
        <f t="shared" si="27"/>
        <v>225000000</v>
      </c>
      <c r="AJ20" s="75">
        <f t="shared" si="27"/>
        <v>270000000</v>
      </c>
      <c r="AK20" s="75">
        <f t="shared" si="27"/>
        <v>292500000</v>
      </c>
      <c r="AL20" s="75">
        <f t="shared" si="27"/>
        <v>337500000</v>
      </c>
      <c r="AM20" s="75">
        <f t="shared" si="27"/>
        <v>382500000</v>
      </c>
      <c r="AN20" s="75">
        <f t="shared" si="27"/>
        <v>450000000</v>
      </c>
      <c r="AO20" s="76">
        <f t="shared" si="27"/>
        <v>517500000</v>
      </c>
    </row>
    <row r="21" spans="1:41" ht="17.25" outlineLevel="3" x14ac:dyDescent="0.3">
      <c r="A21" s="74" t="s">
        <v>67</v>
      </c>
      <c r="B21" s="13">
        <f>'КАЛЬКУЛЯЦИЯ ПАРТИИ ТОВАРОВ'!B22</f>
        <v>0.5</v>
      </c>
      <c r="C21" s="67">
        <f t="shared" si="19"/>
        <v>337500000</v>
      </c>
      <c r="D21" s="75">
        <f>$B$21*D19</f>
        <v>0</v>
      </c>
      <c r="E21" s="75">
        <v>0</v>
      </c>
      <c r="F21" s="75">
        <f t="shared" ref="F21:O21" si="28">$B$21*F19</f>
        <v>0</v>
      </c>
      <c r="G21" s="75">
        <f t="shared" si="28"/>
        <v>22500000</v>
      </c>
      <c r="H21" s="75">
        <f t="shared" si="28"/>
        <v>22500000</v>
      </c>
      <c r="I21" s="75">
        <f t="shared" si="28"/>
        <v>45000000</v>
      </c>
      <c r="J21" s="75">
        <f t="shared" si="28"/>
        <v>22500000</v>
      </c>
      <c r="K21" s="75">
        <f t="shared" si="28"/>
        <v>45000000</v>
      </c>
      <c r="L21" s="75">
        <f t="shared" si="28"/>
        <v>45000000</v>
      </c>
      <c r="M21" s="75">
        <f t="shared" si="28"/>
        <v>45000000</v>
      </c>
      <c r="N21" s="75">
        <f t="shared" si="28"/>
        <v>45000000</v>
      </c>
      <c r="O21" s="75">
        <f t="shared" si="28"/>
        <v>45000000</v>
      </c>
      <c r="P21" s="67">
        <f t="shared" si="21"/>
        <v>922500000</v>
      </c>
      <c r="Q21" s="75">
        <f t="shared" ref="Q21:AB21" si="29">$B$21*Q19</f>
        <v>67500000</v>
      </c>
      <c r="R21" s="75">
        <f t="shared" si="29"/>
        <v>67500000</v>
      </c>
      <c r="S21" s="75">
        <f t="shared" si="29"/>
        <v>67500000</v>
      </c>
      <c r="T21" s="75">
        <f t="shared" si="29"/>
        <v>67500000</v>
      </c>
      <c r="U21" s="75">
        <f t="shared" si="29"/>
        <v>67500000</v>
      </c>
      <c r="V21" s="75">
        <f t="shared" si="29"/>
        <v>45000000</v>
      </c>
      <c r="W21" s="75">
        <f t="shared" si="29"/>
        <v>67500000</v>
      </c>
      <c r="X21" s="75">
        <f t="shared" si="29"/>
        <v>67500000</v>
      </c>
      <c r="Y21" s="75">
        <f t="shared" si="29"/>
        <v>90000000</v>
      </c>
      <c r="Z21" s="75">
        <f t="shared" si="29"/>
        <v>90000000</v>
      </c>
      <c r="AA21" s="75">
        <f t="shared" si="29"/>
        <v>112500000</v>
      </c>
      <c r="AB21" s="75">
        <f t="shared" si="29"/>
        <v>112500000</v>
      </c>
      <c r="AC21" s="67">
        <f t="shared" si="23"/>
        <v>3240000000</v>
      </c>
      <c r="AD21" s="75">
        <f t="shared" ref="AD21:AO21" si="30">$B$21*AD19</f>
        <v>112500000</v>
      </c>
      <c r="AE21" s="75">
        <f t="shared" si="30"/>
        <v>135000000</v>
      </c>
      <c r="AF21" s="75">
        <f t="shared" si="30"/>
        <v>157500000</v>
      </c>
      <c r="AG21" s="75">
        <f t="shared" si="30"/>
        <v>157500000</v>
      </c>
      <c r="AH21" s="75">
        <f t="shared" si="30"/>
        <v>202500000</v>
      </c>
      <c r="AI21" s="75">
        <f t="shared" si="30"/>
        <v>225000000</v>
      </c>
      <c r="AJ21" s="75">
        <f t="shared" si="30"/>
        <v>270000000</v>
      </c>
      <c r="AK21" s="75">
        <f t="shared" si="30"/>
        <v>292500000</v>
      </c>
      <c r="AL21" s="75">
        <f t="shared" si="30"/>
        <v>337500000</v>
      </c>
      <c r="AM21" s="75">
        <f t="shared" si="30"/>
        <v>382500000</v>
      </c>
      <c r="AN21" s="75">
        <f t="shared" si="30"/>
        <v>450000000</v>
      </c>
      <c r="AO21" s="75">
        <f t="shared" si="30"/>
        <v>517500000</v>
      </c>
    </row>
    <row r="22" spans="1:41" ht="33.75" customHeight="1" outlineLevel="1" x14ac:dyDescent="0.15">
      <c r="A22" s="7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17.25" outlineLevel="1" x14ac:dyDescent="0.3">
      <c r="A23" s="77" t="s">
        <v>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17.25" outlineLevel="1" x14ac:dyDescent="0.3">
      <c r="A24" s="78" t="s">
        <v>69</v>
      </c>
      <c r="B24" s="79">
        <v>0.4</v>
      </c>
      <c r="C24" s="7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17.25" outlineLevel="1" x14ac:dyDescent="0.3">
      <c r="A25" s="78" t="s">
        <v>70</v>
      </c>
      <c r="B25" s="79">
        <v>0.6</v>
      </c>
      <c r="C25" s="7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26.25" customHeight="1" outlineLevel="1" x14ac:dyDescent="0.4">
      <c r="A26" s="80" t="s">
        <v>71</v>
      </c>
      <c r="B26" s="19"/>
      <c r="C26" s="7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7.5" customHeight="1" outlineLevel="2" x14ac:dyDescent="0.45">
      <c r="A27" s="55" t="s">
        <v>72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4"/>
      <c r="M27" s="4"/>
      <c r="N27" s="4"/>
      <c r="O27" s="4"/>
      <c r="P27" s="2"/>
      <c r="Q27" s="2"/>
      <c r="R27" s="2"/>
      <c r="S27" s="2"/>
      <c r="T27" s="2"/>
      <c r="U27" s="2"/>
      <c r="V27" s="2"/>
      <c r="W27" s="2"/>
      <c r="X27" s="4"/>
      <c r="Y27" s="4"/>
      <c r="Z27" s="4"/>
      <c r="AA27" s="4"/>
      <c r="AB27" s="4"/>
      <c r="AC27" s="2"/>
      <c r="AD27" s="2"/>
      <c r="AE27" s="2"/>
      <c r="AF27" s="2"/>
      <c r="AG27" s="2"/>
      <c r="AH27" s="2"/>
      <c r="AI27" s="2"/>
      <c r="AJ27" s="2"/>
      <c r="AK27" s="4"/>
      <c r="AL27" s="4"/>
      <c r="AM27" s="4"/>
      <c r="AN27" s="4"/>
      <c r="AO27" s="4"/>
    </row>
    <row r="28" spans="1:41" ht="21" outlineLevel="3" x14ac:dyDescent="0.4">
      <c r="A28" s="155" t="s">
        <v>62</v>
      </c>
      <c r="B28" s="56"/>
      <c r="C28" s="57">
        <v>45291</v>
      </c>
      <c r="D28" s="58">
        <v>44927</v>
      </c>
      <c r="E28" s="58">
        <v>44958</v>
      </c>
      <c r="F28" s="58">
        <v>44986</v>
      </c>
      <c r="G28" s="58">
        <v>45017</v>
      </c>
      <c r="H28" s="58">
        <v>45047</v>
      </c>
      <c r="I28" s="58">
        <v>45078</v>
      </c>
      <c r="J28" s="58">
        <v>45108</v>
      </c>
      <c r="K28" s="58">
        <v>45139</v>
      </c>
      <c r="L28" s="58">
        <v>45170</v>
      </c>
      <c r="M28" s="58">
        <v>45200</v>
      </c>
      <c r="N28" s="58">
        <v>45231</v>
      </c>
      <c r="O28" s="59">
        <v>45261</v>
      </c>
      <c r="P28" s="57">
        <v>45657</v>
      </c>
      <c r="Q28" s="60">
        <v>45292</v>
      </c>
      <c r="R28" s="60">
        <v>45323</v>
      </c>
      <c r="S28" s="60">
        <v>45352</v>
      </c>
      <c r="T28" s="60">
        <v>45383</v>
      </c>
      <c r="U28" s="60">
        <v>45413</v>
      </c>
      <c r="V28" s="60">
        <v>45444</v>
      </c>
      <c r="W28" s="60">
        <v>45474</v>
      </c>
      <c r="X28" s="60">
        <v>45505</v>
      </c>
      <c r="Y28" s="60">
        <v>45536</v>
      </c>
      <c r="Z28" s="60">
        <v>45566</v>
      </c>
      <c r="AA28" s="60">
        <v>45597</v>
      </c>
      <c r="AB28" s="60">
        <v>45627</v>
      </c>
      <c r="AC28" s="57">
        <v>46022</v>
      </c>
      <c r="AD28" s="60">
        <v>45658</v>
      </c>
      <c r="AE28" s="60">
        <v>45689</v>
      </c>
      <c r="AF28" s="60">
        <v>45717</v>
      </c>
      <c r="AG28" s="60">
        <v>45748</v>
      </c>
      <c r="AH28" s="60">
        <v>45778</v>
      </c>
      <c r="AI28" s="60">
        <v>45809</v>
      </c>
      <c r="AJ28" s="60">
        <v>45839</v>
      </c>
      <c r="AK28" s="60">
        <v>45870</v>
      </c>
      <c r="AL28" s="60">
        <v>45901</v>
      </c>
      <c r="AM28" s="60">
        <v>45931</v>
      </c>
      <c r="AN28" s="60">
        <v>45962</v>
      </c>
      <c r="AO28" s="60">
        <v>45992</v>
      </c>
    </row>
    <row r="29" spans="1:41" ht="18.75" outlineLevel="3" x14ac:dyDescent="0.4">
      <c r="A29" s="156"/>
      <c r="B29" s="63" t="s">
        <v>58</v>
      </c>
      <c r="C29" s="64">
        <f t="shared" ref="C29:D29" si="31">C30</f>
        <v>675000000</v>
      </c>
      <c r="D29" s="72">
        <f t="shared" si="31"/>
        <v>0</v>
      </c>
      <c r="E29" s="72">
        <f t="shared" ref="E29:O29" si="32">E23</f>
        <v>0</v>
      </c>
      <c r="F29" s="72">
        <f t="shared" si="32"/>
        <v>0</v>
      </c>
      <c r="G29" s="72">
        <f t="shared" si="32"/>
        <v>0</v>
      </c>
      <c r="H29" s="72">
        <f t="shared" si="32"/>
        <v>0</v>
      </c>
      <c r="I29" s="72">
        <f t="shared" si="32"/>
        <v>0</v>
      </c>
      <c r="J29" s="72">
        <f t="shared" si="32"/>
        <v>0</v>
      </c>
      <c r="K29" s="72">
        <f t="shared" si="32"/>
        <v>0</v>
      </c>
      <c r="L29" s="72">
        <f t="shared" si="32"/>
        <v>0</v>
      </c>
      <c r="M29" s="72">
        <f t="shared" si="32"/>
        <v>0</v>
      </c>
      <c r="N29" s="72">
        <f t="shared" si="32"/>
        <v>0</v>
      </c>
      <c r="O29" s="72">
        <f t="shared" si="32"/>
        <v>0</v>
      </c>
      <c r="P29" s="64">
        <f>P30</f>
        <v>1845000000</v>
      </c>
      <c r="Q29" s="72"/>
      <c r="R29" s="72">
        <f t="shared" ref="R29:AB29" si="33">R23</f>
        <v>0</v>
      </c>
      <c r="S29" s="72">
        <f t="shared" si="33"/>
        <v>0</v>
      </c>
      <c r="T29" s="72">
        <f t="shared" si="33"/>
        <v>0</v>
      </c>
      <c r="U29" s="72">
        <f t="shared" si="33"/>
        <v>0</v>
      </c>
      <c r="V29" s="72">
        <f t="shared" si="33"/>
        <v>0</v>
      </c>
      <c r="W29" s="72">
        <f t="shared" si="33"/>
        <v>0</v>
      </c>
      <c r="X29" s="72">
        <f t="shared" si="33"/>
        <v>0</v>
      </c>
      <c r="Y29" s="72">
        <f t="shared" si="33"/>
        <v>0</v>
      </c>
      <c r="Z29" s="72">
        <f t="shared" si="33"/>
        <v>0</v>
      </c>
      <c r="AA29" s="72">
        <f t="shared" si="33"/>
        <v>0</v>
      </c>
      <c r="AB29" s="72">
        <f t="shared" si="33"/>
        <v>0</v>
      </c>
      <c r="AC29" s="64">
        <f t="shared" ref="AC29:AD29" si="34">AC30</f>
        <v>6480000000</v>
      </c>
      <c r="AD29" s="72">
        <f t="shared" si="34"/>
        <v>225000000</v>
      </c>
      <c r="AE29" s="72">
        <f t="shared" ref="AE29:AO29" si="35">AE23</f>
        <v>0</v>
      </c>
      <c r="AF29" s="72">
        <f t="shared" si="35"/>
        <v>0</v>
      </c>
      <c r="AG29" s="72">
        <f t="shared" si="35"/>
        <v>0</v>
      </c>
      <c r="AH29" s="72">
        <f t="shared" si="35"/>
        <v>0</v>
      </c>
      <c r="AI29" s="72">
        <f t="shared" si="35"/>
        <v>0</v>
      </c>
      <c r="AJ29" s="72">
        <f t="shared" si="35"/>
        <v>0</v>
      </c>
      <c r="AK29" s="72">
        <f t="shared" si="35"/>
        <v>0</v>
      </c>
      <c r="AL29" s="72">
        <f t="shared" si="35"/>
        <v>0</v>
      </c>
      <c r="AM29" s="72">
        <f t="shared" si="35"/>
        <v>0</v>
      </c>
      <c r="AN29" s="72">
        <f t="shared" si="35"/>
        <v>0</v>
      </c>
      <c r="AO29" s="72">
        <f t="shared" si="35"/>
        <v>0</v>
      </c>
    </row>
    <row r="30" spans="1:41" ht="17.25" outlineLevel="3" x14ac:dyDescent="0.3">
      <c r="A30" s="81" t="s">
        <v>73</v>
      </c>
      <c r="B30" s="13">
        <f>SUM(B31:B32)</f>
        <v>1</v>
      </c>
      <c r="C30" s="67">
        <f t="shared" ref="C30:C32" si="36">SUM(D30:O30)</f>
        <v>675000000</v>
      </c>
      <c r="D30" s="67">
        <f t="shared" ref="D30:O30" si="37">SUM(D31:D32)</f>
        <v>0</v>
      </c>
      <c r="E30" s="67">
        <f t="shared" si="37"/>
        <v>0</v>
      </c>
      <c r="F30" s="67">
        <f t="shared" si="37"/>
        <v>0</v>
      </c>
      <c r="G30" s="67">
        <f t="shared" si="37"/>
        <v>45000000</v>
      </c>
      <c r="H30" s="67">
        <f t="shared" si="37"/>
        <v>45000000</v>
      </c>
      <c r="I30" s="67">
        <f t="shared" si="37"/>
        <v>90000000</v>
      </c>
      <c r="J30" s="67">
        <f t="shared" si="37"/>
        <v>45000000</v>
      </c>
      <c r="K30" s="67">
        <f t="shared" si="37"/>
        <v>90000000</v>
      </c>
      <c r="L30" s="67">
        <f t="shared" si="37"/>
        <v>90000000</v>
      </c>
      <c r="M30" s="67">
        <f t="shared" si="37"/>
        <v>90000000</v>
      </c>
      <c r="N30" s="67">
        <f t="shared" si="37"/>
        <v>90000000</v>
      </c>
      <c r="O30" s="82">
        <f t="shared" si="37"/>
        <v>90000000</v>
      </c>
      <c r="P30" s="67">
        <f t="shared" ref="P30:P32" si="38">SUM(Q30:AB30)</f>
        <v>1845000000</v>
      </c>
      <c r="Q30" s="67">
        <f t="shared" ref="Q30:AB30" si="39">SUM(Q31:Q32)</f>
        <v>135000000</v>
      </c>
      <c r="R30" s="67">
        <f t="shared" si="39"/>
        <v>135000000</v>
      </c>
      <c r="S30" s="67">
        <f t="shared" si="39"/>
        <v>135000000</v>
      </c>
      <c r="T30" s="67">
        <f t="shared" si="39"/>
        <v>135000000</v>
      </c>
      <c r="U30" s="67">
        <f t="shared" si="39"/>
        <v>135000000</v>
      </c>
      <c r="V30" s="67">
        <f t="shared" si="39"/>
        <v>90000000</v>
      </c>
      <c r="W30" s="67">
        <f t="shared" si="39"/>
        <v>135000000</v>
      </c>
      <c r="X30" s="67">
        <f t="shared" si="39"/>
        <v>135000000</v>
      </c>
      <c r="Y30" s="67">
        <f t="shared" si="39"/>
        <v>180000000</v>
      </c>
      <c r="Z30" s="67">
        <f t="shared" si="39"/>
        <v>180000000</v>
      </c>
      <c r="AA30" s="67">
        <f t="shared" si="39"/>
        <v>225000000</v>
      </c>
      <c r="AB30" s="82">
        <f t="shared" si="39"/>
        <v>225000000</v>
      </c>
      <c r="AC30" s="67">
        <f t="shared" ref="AC30:AC32" si="40">SUM(AD30:AO30)</f>
        <v>6480000000</v>
      </c>
      <c r="AD30" s="67">
        <f t="shared" ref="AD30:AO30" si="41">SUM(AD31:AD32)</f>
        <v>225000000</v>
      </c>
      <c r="AE30" s="67">
        <f t="shared" si="41"/>
        <v>270000000</v>
      </c>
      <c r="AF30" s="67">
        <f t="shared" si="41"/>
        <v>315000000</v>
      </c>
      <c r="AG30" s="67">
        <f t="shared" si="41"/>
        <v>315000000</v>
      </c>
      <c r="AH30" s="67">
        <f t="shared" si="41"/>
        <v>405000000</v>
      </c>
      <c r="AI30" s="67">
        <f t="shared" si="41"/>
        <v>450000000</v>
      </c>
      <c r="AJ30" s="67">
        <f t="shared" si="41"/>
        <v>540000000</v>
      </c>
      <c r="AK30" s="67">
        <f t="shared" si="41"/>
        <v>585000000</v>
      </c>
      <c r="AL30" s="67">
        <f t="shared" si="41"/>
        <v>675000000</v>
      </c>
      <c r="AM30" s="67">
        <f t="shared" si="41"/>
        <v>765000000</v>
      </c>
      <c r="AN30" s="67">
        <f t="shared" si="41"/>
        <v>900000000</v>
      </c>
      <c r="AO30" s="82">
        <f t="shared" si="41"/>
        <v>1035000000</v>
      </c>
    </row>
    <row r="31" spans="1:41" ht="17.25" outlineLevel="4" x14ac:dyDescent="0.3">
      <c r="A31" s="74" t="s">
        <v>66</v>
      </c>
      <c r="B31" s="83">
        <f t="shared" ref="B31:B32" si="42">B20</f>
        <v>0.5</v>
      </c>
      <c r="C31" s="67">
        <f t="shared" si="36"/>
        <v>337500000</v>
      </c>
      <c r="D31" s="75">
        <f>D20</f>
        <v>0</v>
      </c>
      <c r="E31" s="75">
        <v>0</v>
      </c>
      <c r="F31" s="75">
        <v>0</v>
      </c>
      <c r="G31" s="75">
        <f t="shared" ref="G31:O31" si="43">G20</f>
        <v>22500000</v>
      </c>
      <c r="H31" s="75">
        <f t="shared" si="43"/>
        <v>22500000</v>
      </c>
      <c r="I31" s="75">
        <f t="shared" si="43"/>
        <v>45000000</v>
      </c>
      <c r="J31" s="75">
        <f t="shared" si="43"/>
        <v>22500000</v>
      </c>
      <c r="K31" s="75">
        <f t="shared" si="43"/>
        <v>45000000</v>
      </c>
      <c r="L31" s="75">
        <f t="shared" si="43"/>
        <v>45000000</v>
      </c>
      <c r="M31" s="75">
        <f t="shared" si="43"/>
        <v>45000000</v>
      </c>
      <c r="N31" s="75">
        <f t="shared" si="43"/>
        <v>45000000</v>
      </c>
      <c r="O31" s="75">
        <f t="shared" si="43"/>
        <v>45000000</v>
      </c>
      <c r="P31" s="67">
        <f t="shared" si="38"/>
        <v>922500000</v>
      </c>
      <c r="Q31" s="75">
        <f t="shared" ref="Q31:AB31" si="44">Q20</f>
        <v>67500000</v>
      </c>
      <c r="R31" s="75">
        <f t="shared" si="44"/>
        <v>67500000</v>
      </c>
      <c r="S31" s="75">
        <f t="shared" si="44"/>
        <v>67500000</v>
      </c>
      <c r="T31" s="75">
        <f t="shared" si="44"/>
        <v>67500000</v>
      </c>
      <c r="U31" s="75">
        <f t="shared" si="44"/>
        <v>67500000</v>
      </c>
      <c r="V31" s="75">
        <f t="shared" si="44"/>
        <v>45000000</v>
      </c>
      <c r="W31" s="75">
        <f t="shared" si="44"/>
        <v>67500000</v>
      </c>
      <c r="X31" s="75">
        <f t="shared" si="44"/>
        <v>67500000</v>
      </c>
      <c r="Y31" s="75">
        <f t="shared" si="44"/>
        <v>90000000</v>
      </c>
      <c r="Z31" s="75">
        <f t="shared" si="44"/>
        <v>90000000</v>
      </c>
      <c r="AA31" s="75">
        <f t="shared" si="44"/>
        <v>112500000</v>
      </c>
      <c r="AB31" s="75">
        <f t="shared" si="44"/>
        <v>112500000</v>
      </c>
      <c r="AC31" s="67">
        <f t="shared" si="40"/>
        <v>3240000000</v>
      </c>
      <c r="AD31" s="75">
        <f t="shared" ref="AD31:AO31" si="45">AD20</f>
        <v>112500000</v>
      </c>
      <c r="AE31" s="75">
        <f t="shared" si="45"/>
        <v>135000000</v>
      </c>
      <c r="AF31" s="75">
        <f t="shared" si="45"/>
        <v>157500000</v>
      </c>
      <c r="AG31" s="75">
        <f t="shared" si="45"/>
        <v>157500000</v>
      </c>
      <c r="AH31" s="75">
        <f t="shared" si="45"/>
        <v>202500000</v>
      </c>
      <c r="AI31" s="75">
        <f t="shared" si="45"/>
        <v>225000000</v>
      </c>
      <c r="AJ31" s="75">
        <f t="shared" si="45"/>
        <v>270000000</v>
      </c>
      <c r="AK31" s="75">
        <f t="shared" si="45"/>
        <v>292500000</v>
      </c>
      <c r="AL31" s="75">
        <f t="shared" si="45"/>
        <v>337500000</v>
      </c>
      <c r="AM31" s="75">
        <f t="shared" si="45"/>
        <v>382500000</v>
      </c>
      <c r="AN31" s="75">
        <f t="shared" si="45"/>
        <v>450000000</v>
      </c>
      <c r="AO31" s="75">
        <f t="shared" si="45"/>
        <v>517500000</v>
      </c>
    </row>
    <row r="32" spans="1:41" ht="17.25" outlineLevel="4" x14ac:dyDescent="0.3">
      <c r="A32" s="74" t="s">
        <v>74</v>
      </c>
      <c r="B32" s="83">
        <f t="shared" si="42"/>
        <v>0.5</v>
      </c>
      <c r="C32" s="67">
        <f t="shared" si="36"/>
        <v>337500000</v>
      </c>
      <c r="D32" s="75">
        <v>0</v>
      </c>
      <c r="E32" s="75">
        <v>0</v>
      </c>
      <c r="F32" s="75">
        <v>0</v>
      </c>
      <c r="G32" s="75">
        <f t="shared" ref="G32:O32" si="46">G21</f>
        <v>22500000</v>
      </c>
      <c r="H32" s="75">
        <f t="shared" si="46"/>
        <v>22500000</v>
      </c>
      <c r="I32" s="75">
        <f t="shared" si="46"/>
        <v>45000000</v>
      </c>
      <c r="J32" s="75">
        <f t="shared" si="46"/>
        <v>22500000</v>
      </c>
      <c r="K32" s="75">
        <f t="shared" si="46"/>
        <v>45000000</v>
      </c>
      <c r="L32" s="75">
        <f t="shared" si="46"/>
        <v>45000000</v>
      </c>
      <c r="M32" s="75">
        <f t="shared" si="46"/>
        <v>45000000</v>
      </c>
      <c r="N32" s="75">
        <f t="shared" si="46"/>
        <v>45000000</v>
      </c>
      <c r="O32" s="75">
        <f t="shared" si="46"/>
        <v>45000000</v>
      </c>
      <c r="P32" s="67">
        <f t="shared" si="38"/>
        <v>922500000</v>
      </c>
      <c r="Q32" s="75">
        <f t="shared" ref="Q32:AB32" si="47">Q21</f>
        <v>67500000</v>
      </c>
      <c r="R32" s="75">
        <f t="shared" si="47"/>
        <v>67500000</v>
      </c>
      <c r="S32" s="75">
        <f t="shared" si="47"/>
        <v>67500000</v>
      </c>
      <c r="T32" s="75">
        <f t="shared" si="47"/>
        <v>67500000</v>
      </c>
      <c r="U32" s="75">
        <f t="shared" si="47"/>
        <v>67500000</v>
      </c>
      <c r="V32" s="75">
        <f t="shared" si="47"/>
        <v>45000000</v>
      </c>
      <c r="W32" s="75">
        <f t="shared" si="47"/>
        <v>67500000</v>
      </c>
      <c r="X32" s="75">
        <f t="shared" si="47"/>
        <v>67500000</v>
      </c>
      <c r="Y32" s="75">
        <f t="shared" si="47"/>
        <v>90000000</v>
      </c>
      <c r="Z32" s="75">
        <f t="shared" si="47"/>
        <v>90000000</v>
      </c>
      <c r="AA32" s="75">
        <f t="shared" si="47"/>
        <v>112500000</v>
      </c>
      <c r="AB32" s="75">
        <f t="shared" si="47"/>
        <v>112500000</v>
      </c>
      <c r="AC32" s="67">
        <f t="shared" si="40"/>
        <v>3240000000</v>
      </c>
      <c r="AD32" s="75">
        <f t="shared" ref="AD32:AO32" si="48">AD21</f>
        <v>112500000</v>
      </c>
      <c r="AE32" s="75">
        <f t="shared" si="48"/>
        <v>135000000</v>
      </c>
      <c r="AF32" s="75">
        <f t="shared" si="48"/>
        <v>157500000</v>
      </c>
      <c r="AG32" s="75">
        <f t="shared" si="48"/>
        <v>157500000</v>
      </c>
      <c r="AH32" s="75">
        <f t="shared" si="48"/>
        <v>202500000</v>
      </c>
      <c r="AI32" s="75">
        <f t="shared" si="48"/>
        <v>225000000</v>
      </c>
      <c r="AJ32" s="75">
        <f t="shared" si="48"/>
        <v>270000000</v>
      </c>
      <c r="AK32" s="75">
        <f t="shared" si="48"/>
        <v>292500000</v>
      </c>
      <c r="AL32" s="75">
        <f t="shared" si="48"/>
        <v>337500000</v>
      </c>
      <c r="AM32" s="75">
        <f t="shared" si="48"/>
        <v>382500000</v>
      </c>
      <c r="AN32" s="75">
        <f t="shared" si="48"/>
        <v>450000000</v>
      </c>
      <c r="AO32" s="75">
        <f t="shared" si="48"/>
        <v>517500000</v>
      </c>
    </row>
    <row r="33" spans="1:41" ht="17.25" outlineLevel="2" x14ac:dyDescent="0.15">
      <c r="A33" s="7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7.25" outlineLevel="2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7.5" customHeight="1" outlineLevel="1" x14ac:dyDescent="0.45">
      <c r="A35" s="55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4"/>
      <c r="Y35" s="4"/>
      <c r="Z35" s="4"/>
      <c r="AA35" s="4"/>
      <c r="AB35" s="4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4"/>
      <c r="AN35" s="4"/>
      <c r="AO35" s="4"/>
    </row>
    <row r="36" spans="1:41" ht="21" outlineLevel="2" x14ac:dyDescent="0.4">
      <c r="A36" s="155" t="s">
        <v>62</v>
      </c>
      <c r="B36" s="56"/>
      <c r="C36" s="57">
        <v>45291</v>
      </c>
      <c r="D36" s="58">
        <v>44927</v>
      </c>
      <c r="E36" s="58">
        <v>44958</v>
      </c>
      <c r="F36" s="58">
        <v>44986</v>
      </c>
      <c r="G36" s="58">
        <v>45017</v>
      </c>
      <c r="H36" s="58">
        <v>45047</v>
      </c>
      <c r="I36" s="58">
        <v>45078</v>
      </c>
      <c r="J36" s="58">
        <v>45108</v>
      </c>
      <c r="K36" s="58">
        <v>45139</v>
      </c>
      <c r="L36" s="58">
        <v>45170</v>
      </c>
      <c r="M36" s="58">
        <v>45200</v>
      </c>
      <c r="N36" s="58">
        <v>45231</v>
      </c>
      <c r="O36" s="59">
        <v>45261</v>
      </c>
      <c r="P36" s="57">
        <v>45657</v>
      </c>
      <c r="Q36" s="60">
        <v>45292</v>
      </c>
      <c r="R36" s="60">
        <v>45323</v>
      </c>
      <c r="S36" s="60">
        <v>45352</v>
      </c>
      <c r="T36" s="60">
        <v>45383</v>
      </c>
      <c r="U36" s="60">
        <v>45413</v>
      </c>
      <c r="V36" s="60">
        <v>45444</v>
      </c>
      <c r="W36" s="60">
        <v>45474</v>
      </c>
      <c r="X36" s="60">
        <v>45505</v>
      </c>
      <c r="Y36" s="60">
        <v>45536</v>
      </c>
      <c r="Z36" s="60">
        <v>45566</v>
      </c>
      <c r="AA36" s="60">
        <v>45597</v>
      </c>
      <c r="AB36" s="60">
        <v>45627</v>
      </c>
      <c r="AC36" s="57">
        <v>46022</v>
      </c>
      <c r="AD36" s="60">
        <v>45658</v>
      </c>
      <c r="AE36" s="60">
        <v>45689</v>
      </c>
      <c r="AF36" s="60">
        <v>45717</v>
      </c>
      <c r="AG36" s="60">
        <v>45748</v>
      </c>
      <c r="AH36" s="60">
        <v>45778</v>
      </c>
      <c r="AI36" s="60">
        <v>45809</v>
      </c>
      <c r="AJ36" s="60">
        <v>45839</v>
      </c>
      <c r="AK36" s="60">
        <v>45870</v>
      </c>
      <c r="AL36" s="60">
        <v>45901</v>
      </c>
      <c r="AM36" s="60">
        <v>45931</v>
      </c>
      <c r="AN36" s="60">
        <v>45962</v>
      </c>
      <c r="AO36" s="60">
        <v>45992</v>
      </c>
    </row>
    <row r="37" spans="1:41" ht="18.75" outlineLevel="2" x14ac:dyDescent="0.4">
      <c r="A37" s="156"/>
      <c r="B37" s="63" t="s">
        <v>58</v>
      </c>
      <c r="C37" s="64">
        <f t="shared" ref="C37:AO37" si="49">C38</f>
        <v>11.8</v>
      </c>
      <c r="D37" s="72">
        <f t="shared" si="49"/>
        <v>0</v>
      </c>
      <c r="E37" s="72">
        <f t="shared" si="49"/>
        <v>0</v>
      </c>
      <c r="F37" s="72">
        <f t="shared" si="49"/>
        <v>0</v>
      </c>
      <c r="G37" s="72">
        <f t="shared" si="49"/>
        <v>0</v>
      </c>
      <c r="H37" s="72">
        <f t="shared" si="49"/>
        <v>0.4</v>
      </c>
      <c r="I37" s="72">
        <f t="shared" si="49"/>
        <v>1</v>
      </c>
      <c r="J37" s="72">
        <f t="shared" si="49"/>
        <v>1.4</v>
      </c>
      <c r="K37" s="72">
        <f t="shared" si="49"/>
        <v>1.6</v>
      </c>
      <c r="L37" s="72">
        <f t="shared" si="49"/>
        <v>1.4</v>
      </c>
      <c r="M37" s="72">
        <f t="shared" si="49"/>
        <v>2</v>
      </c>
      <c r="N37" s="72">
        <f t="shared" si="49"/>
        <v>2</v>
      </c>
      <c r="O37" s="72">
        <f t="shared" si="49"/>
        <v>2</v>
      </c>
      <c r="P37" s="72">
        <f t="shared" si="49"/>
        <v>36.199999999999996</v>
      </c>
      <c r="Q37" s="72">
        <f t="shared" si="49"/>
        <v>2</v>
      </c>
      <c r="R37" s="72">
        <f t="shared" si="49"/>
        <v>2.4000000000000004</v>
      </c>
      <c r="S37" s="72">
        <f t="shared" si="49"/>
        <v>3</v>
      </c>
      <c r="T37" s="72">
        <f t="shared" si="49"/>
        <v>3</v>
      </c>
      <c r="U37" s="72">
        <f t="shared" si="49"/>
        <v>3</v>
      </c>
      <c r="V37" s="72">
        <f t="shared" si="49"/>
        <v>3</v>
      </c>
      <c r="W37" s="72">
        <f t="shared" si="49"/>
        <v>2.5999999999999996</v>
      </c>
      <c r="X37" s="72">
        <f t="shared" si="49"/>
        <v>2.4000000000000004</v>
      </c>
      <c r="Y37" s="72">
        <f t="shared" si="49"/>
        <v>3</v>
      </c>
      <c r="Z37" s="72">
        <f t="shared" si="49"/>
        <v>3.4</v>
      </c>
      <c r="AA37" s="72">
        <f t="shared" si="49"/>
        <v>4</v>
      </c>
      <c r="AB37" s="72">
        <f t="shared" si="49"/>
        <v>4.4000000000000004</v>
      </c>
      <c r="AC37" s="72">
        <f t="shared" si="49"/>
        <v>116.99999999999999</v>
      </c>
      <c r="AD37" s="72">
        <f t="shared" si="49"/>
        <v>5</v>
      </c>
      <c r="AE37" s="72">
        <f t="shared" si="49"/>
        <v>5</v>
      </c>
      <c r="AF37" s="72">
        <f t="shared" si="49"/>
        <v>5.4</v>
      </c>
      <c r="AG37" s="72">
        <f t="shared" si="49"/>
        <v>6.4</v>
      </c>
      <c r="AH37" s="72">
        <f t="shared" si="49"/>
        <v>7</v>
      </c>
      <c r="AI37" s="72">
        <f t="shared" si="49"/>
        <v>7.8000000000000007</v>
      </c>
      <c r="AJ37" s="72">
        <f t="shared" si="49"/>
        <v>9.3999999999999986</v>
      </c>
      <c r="AK37" s="72">
        <f t="shared" si="49"/>
        <v>10.8</v>
      </c>
      <c r="AL37" s="72">
        <f t="shared" si="49"/>
        <v>12.399999999999999</v>
      </c>
      <c r="AM37" s="72">
        <f t="shared" si="49"/>
        <v>13.8</v>
      </c>
      <c r="AN37" s="72">
        <f t="shared" si="49"/>
        <v>15.8</v>
      </c>
      <c r="AO37" s="72">
        <f t="shared" si="49"/>
        <v>18.2</v>
      </c>
    </row>
    <row r="38" spans="1:41" ht="17.25" outlineLevel="2" x14ac:dyDescent="0.3">
      <c r="A38" s="81" t="s">
        <v>73</v>
      </c>
      <c r="B38" s="13">
        <f t="shared" ref="B38:B40" si="50">B30</f>
        <v>1</v>
      </c>
      <c r="C38" s="67">
        <f t="shared" ref="C38:C40" si="51">SUM(D38:O38)</f>
        <v>11.8</v>
      </c>
      <c r="D38" s="67">
        <f t="shared" ref="D38:O38" si="52">SUM(D39:D40)</f>
        <v>0</v>
      </c>
      <c r="E38" s="67">
        <f t="shared" si="52"/>
        <v>0</v>
      </c>
      <c r="F38" s="67">
        <f t="shared" si="52"/>
        <v>0</v>
      </c>
      <c r="G38" s="67">
        <f t="shared" si="52"/>
        <v>0</v>
      </c>
      <c r="H38" s="67">
        <f t="shared" si="52"/>
        <v>0.4</v>
      </c>
      <c r="I38" s="67">
        <f t="shared" si="52"/>
        <v>1</v>
      </c>
      <c r="J38" s="67">
        <f t="shared" si="52"/>
        <v>1.4</v>
      </c>
      <c r="K38" s="67">
        <f t="shared" si="52"/>
        <v>1.6</v>
      </c>
      <c r="L38" s="67">
        <f t="shared" si="52"/>
        <v>1.4</v>
      </c>
      <c r="M38" s="67">
        <f t="shared" si="52"/>
        <v>2</v>
      </c>
      <c r="N38" s="67">
        <f t="shared" si="52"/>
        <v>2</v>
      </c>
      <c r="O38" s="82">
        <f t="shared" si="52"/>
        <v>2</v>
      </c>
      <c r="P38" s="67">
        <f t="shared" ref="P38:P40" si="53">SUM(Q38:AB38)</f>
        <v>36.199999999999996</v>
      </c>
      <c r="Q38" s="67">
        <f t="shared" ref="Q38:AB38" si="54">SUM(Q39:Q40)</f>
        <v>2</v>
      </c>
      <c r="R38" s="67">
        <f t="shared" si="54"/>
        <v>2.4000000000000004</v>
      </c>
      <c r="S38" s="67">
        <f t="shared" si="54"/>
        <v>3</v>
      </c>
      <c r="T38" s="67">
        <f t="shared" si="54"/>
        <v>3</v>
      </c>
      <c r="U38" s="67">
        <f t="shared" si="54"/>
        <v>3</v>
      </c>
      <c r="V38" s="67">
        <f t="shared" si="54"/>
        <v>3</v>
      </c>
      <c r="W38" s="67">
        <f t="shared" si="54"/>
        <v>2.5999999999999996</v>
      </c>
      <c r="X38" s="67">
        <f t="shared" si="54"/>
        <v>2.4000000000000004</v>
      </c>
      <c r="Y38" s="67">
        <f t="shared" si="54"/>
        <v>3</v>
      </c>
      <c r="Z38" s="67">
        <f t="shared" si="54"/>
        <v>3.4</v>
      </c>
      <c r="AA38" s="67">
        <f t="shared" si="54"/>
        <v>4</v>
      </c>
      <c r="AB38" s="67">
        <f t="shared" si="54"/>
        <v>4.4000000000000004</v>
      </c>
      <c r="AC38" s="67">
        <f t="shared" ref="AC38:AC40" si="55">SUM(AD38:AO38)</f>
        <v>116.99999999999999</v>
      </c>
      <c r="AD38" s="67">
        <f t="shared" ref="AD38:AO38" si="56">SUM(AD39:AD40)</f>
        <v>5</v>
      </c>
      <c r="AE38" s="67">
        <f t="shared" si="56"/>
        <v>5</v>
      </c>
      <c r="AF38" s="67">
        <f t="shared" si="56"/>
        <v>5.4</v>
      </c>
      <c r="AG38" s="67">
        <f t="shared" si="56"/>
        <v>6.4</v>
      </c>
      <c r="AH38" s="67">
        <f t="shared" si="56"/>
        <v>7</v>
      </c>
      <c r="AI38" s="67">
        <f t="shared" si="56"/>
        <v>7.8000000000000007</v>
      </c>
      <c r="AJ38" s="67">
        <f t="shared" si="56"/>
        <v>9.3999999999999986</v>
      </c>
      <c r="AK38" s="67">
        <f t="shared" si="56"/>
        <v>10.8</v>
      </c>
      <c r="AL38" s="67">
        <f t="shared" si="56"/>
        <v>12.399999999999999</v>
      </c>
      <c r="AM38" s="67">
        <f t="shared" si="56"/>
        <v>13.8</v>
      </c>
      <c r="AN38" s="67">
        <f t="shared" si="56"/>
        <v>15.8</v>
      </c>
      <c r="AO38" s="67">
        <f t="shared" si="56"/>
        <v>18.2</v>
      </c>
    </row>
    <row r="39" spans="1:41" ht="17.25" outlineLevel="3" x14ac:dyDescent="0.3">
      <c r="A39" s="74" t="s">
        <v>66</v>
      </c>
      <c r="B39" s="83">
        <f t="shared" si="50"/>
        <v>0.5</v>
      </c>
      <c r="C39" s="67">
        <f t="shared" si="51"/>
        <v>5.9</v>
      </c>
      <c r="D39" s="75">
        <f>D31/(100%-'КАЛЬКУЛЯЦИЯ ПАРТИИ ТОВАРОВ'!$G$5)</f>
        <v>0</v>
      </c>
      <c r="E39" s="75">
        <f>E31/(100%-'КАЛЬКУЛЯЦИЯ ПАРТИИ ТОВАРОВ'!$G$5)</f>
        <v>0</v>
      </c>
      <c r="F39" s="75">
        <f>F31/(100%-'КАЛЬКУЛЯЦИЯ ПАРТИИ ТОВАРОВ'!$G$5)</f>
        <v>0</v>
      </c>
      <c r="G39" s="75">
        <v>0</v>
      </c>
      <c r="H39" s="75">
        <f t="shared" ref="H39:O39" si="57">(($B$24*G6)+(F6*$B$25))*$B$39</f>
        <v>0.2</v>
      </c>
      <c r="I39" s="75">
        <f t="shared" si="57"/>
        <v>0.5</v>
      </c>
      <c r="J39" s="75">
        <f t="shared" si="57"/>
        <v>0.7</v>
      </c>
      <c r="K39" s="75">
        <f t="shared" si="57"/>
        <v>0.8</v>
      </c>
      <c r="L39" s="75">
        <f t="shared" si="57"/>
        <v>0.7</v>
      </c>
      <c r="M39" s="75">
        <f t="shared" si="57"/>
        <v>1</v>
      </c>
      <c r="N39" s="75">
        <f t="shared" si="57"/>
        <v>1</v>
      </c>
      <c r="O39" s="75">
        <f t="shared" si="57"/>
        <v>1</v>
      </c>
      <c r="P39" s="67">
        <f t="shared" si="53"/>
        <v>18.099999999999998</v>
      </c>
      <c r="Q39" s="75">
        <f>(($B$24*O6)+(N6*$B$25))*$B$39</f>
        <v>1</v>
      </c>
      <c r="R39" s="75">
        <f>(($B$24*Q6)+(O6*$B$25))*$B$39</f>
        <v>1.2000000000000002</v>
      </c>
      <c r="S39" s="75">
        <f t="shared" ref="S39:AB39" si="58">(($B$24*R6)+(Q6*$B$25))*$B$39</f>
        <v>1.5</v>
      </c>
      <c r="T39" s="75">
        <f t="shared" si="58"/>
        <v>1.5</v>
      </c>
      <c r="U39" s="75">
        <f t="shared" si="58"/>
        <v>1.5</v>
      </c>
      <c r="V39" s="75">
        <f t="shared" si="58"/>
        <v>1.5</v>
      </c>
      <c r="W39" s="75">
        <f t="shared" si="58"/>
        <v>1.2999999999999998</v>
      </c>
      <c r="X39" s="75">
        <f t="shared" si="58"/>
        <v>1.2000000000000002</v>
      </c>
      <c r="Y39" s="75">
        <f t="shared" si="58"/>
        <v>1.5</v>
      </c>
      <c r="Z39" s="75">
        <f t="shared" si="58"/>
        <v>1.7</v>
      </c>
      <c r="AA39" s="75">
        <f t="shared" si="58"/>
        <v>2</v>
      </c>
      <c r="AB39" s="75">
        <f t="shared" si="58"/>
        <v>2.2000000000000002</v>
      </c>
      <c r="AC39" s="67">
        <f t="shared" si="55"/>
        <v>58.499999999999993</v>
      </c>
      <c r="AD39" s="75">
        <f>(($B$24*AB6)+(AA6*$B$25))*$B$39</f>
        <v>2.5</v>
      </c>
      <c r="AE39" s="75">
        <f>(($B$24*AD6)+(AB6*$B$25))*$B$39</f>
        <v>2.5</v>
      </c>
      <c r="AF39" s="75">
        <f t="shared" ref="AF39:AO39" si="59">(($B$24*AE6)+(AD6*$B$25))*$B$39</f>
        <v>2.7</v>
      </c>
      <c r="AG39" s="75">
        <f t="shared" si="59"/>
        <v>3.2</v>
      </c>
      <c r="AH39" s="75">
        <f t="shared" si="59"/>
        <v>3.5</v>
      </c>
      <c r="AI39" s="75">
        <f t="shared" si="59"/>
        <v>3.9000000000000004</v>
      </c>
      <c r="AJ39" s="75">
        <f t="shared" si="59"/>
        <v>4.6999999999999993</v>
      </c>
      <c r="AK39" s="75">
        <f t="shared" si="59"/>
        <v>5.4</v>
      </c>
      <c r="AL39" s="75">
        <f t="shared" si="59"/>
        <v>6.1999999999999993</v>
      </c>
      <c r="AM39" s="75">
        <f t="shared" si="59"/>
        <v>6.9</v>
      </c>
      <c r="AN39" s="75">
        <f t="shared" si="59"/>
        <v>7.9</v>
      </c>
      <c r="AO39" s="75">
        <f t="shared" si="59"/>
        <v>9.1</v>
      </c>
    </row>
    <row r="40" spans="1:41" ht="17.25" outlineLevel="3" x14ac:dyDescent="0.3">
      <c r="A40" s="74" t="s">
        <v>74</v>
      </c>
      <c r="B40" s="83">
        <f t="shared" si="50"/>
        <v>0.5</v>
      </c>
      <c r="C40" s="67">
        <f t="shared" si="51"/>
        <v>5.9</v>
      </c>
      <c r="D40" s="75">
        <f>D32/(100%-'КАЛЬКУЛЯЦИЯ ПАРТИИ ТОВАРОВ'!$G$5)</f>
        <v>0</v>
      </c>
      <c r="E40" s="75">
        <f>E32/(100%-'КАЛЬКУЛЯЦИЯ ПАРТИИ ТОВАРОВ'!$G$5)</f>
        <v>0</v>
      </c>
      <c r="F40" s="75">
        <f>F32/(100%-'КАЛЬКУЛЯЦИЯ ПАРТИИ ТОВАРОВ'!$G$5)</f>
        <v>0</v>
      </c>
      <c r="G40" s="75">
        <v>0</v>
      </c>
      <c r="H40" s="75">
        <f t="shared" ref="H40:O40" si="60">(($B$24*G6)+(F6*$B$25))*$B$40</f>
        <v>0.2</v>
      </c>
      <c r="I40" s="75">
        <f t="shared" si="60"/>
        <v>0.5</v>
      </c>
      <c r="J40" s="75">
        <f t="shared" si="60"/>
        <v>0.7</v>
      </c>
      <c r="K40" s="75">
        <f t="shared" si="60"/>
        <v>0.8</v>
      </c>
      <c r="L40" s="75">
        <f t="shared" si="60"/>
        <v>0.7</v>
      </c>
      <c r="M40" s="75">
        <f t="shared" si="60"/>
        <v>1</v>
      </c>
      <c r="N40" s="75">
        <f t="shared" si="60"/>
        <v>1</v>
      </c>
      <c r="O40" s="75">
        <f t="shared" si="60"/>
        <v>1</v>
      </c>
      <c r="P40" s="67">
        <f t="shared" si="53"/>
        <v>18.099999999999998</v>
      </c>
      <c r="Q40" s="75">
        <f>(($B$24*O6)+(N6*$B$25))*$B$40</f>
        <v>1</v>
      </c>
      <c r="R40" s="75">
        <f>(($B$24*Q6)+(O6*$B$25))*$B$40</f>
        <v>1.2000000000000002</v>
      </c>
      <c r="S40" s="75">
        <f t="shared" ref="S40:AB40" si="61">(($B$24*R6)+(Q6*$B$25))*$B$40</f>
        <v>1.5</v>
      </c>
      <c r="T40" s="75">
        <f t="shared" si="61"/>
        <v>1.5</v>
      </c>
      <c r="U40" s="75">
        <f t="shared" si="61"/>
        <v>1.5</v>
      </c>
      <c r="V40" s="75">
        <f t="shared" si="61"/>
        <v>1.5</v>
      </c>
      <c r="W40" s="75">
        <f t="shared" si="61"/>
        <v>1.2999999999999998</v>
      </c>
      <c r="X40" s="75">
        <f t="shared" si="61"/>
        <v>1.2000000000000002</v>
      </c>
      <c r="Y40" s="75">
        <f t="shared" si="61"/>
        <v>1.5</v>
      </c>
      <c r="Z40" s="75">
        <f t="shared" si="61"/>
        <v>1.7</v>
      </c>
      <c r="AA40" s="75">
        <f t="shared" si="61"/>
        <v>2</v>
      </c>
      <c r="AB40" s="75">
        <f t="shared" si="61"/>
        <v>2.2000000000000002</v>
      </c>
      <c r="AC40" s="67">
        <f t="shared" si="55"/>
        <v>58.499999999999993</v>
      </c>
      <c r="AD40" s="75">
        <f>(($B$24*AB6)+(AA6*$B$25))*$B$40</f>
        <v>2.5</v>
      </c>
      <c r="AE40" s="75">
        <f>(($B$24*AD6)+(AB6*$B$25))*$B$40</f>
        <v>2.5</v>
      </c>
      <c r="AF40" s="75">
        <f t="shared" ref="AF40:AO40" si="62">(($B$24*AE6)+(AD6*$B$25))*$B$40</f>
        <v>2.7</v>
      </c>
      <c r="AG40" s="75">
        <f t="shared" si="62"/>
        <v>3.2</v>
      </c>
      <c r="AH40" s="75">
        <f t="shared" si="62"/>
        <v>3.5</v>
      </c>
      <c r="AI40" s="75">
        <f t="shared" si="62"/>
        <v>3.9000000000000004</v>
      </c>
      <c r="AJ40" s="75">
        <f t="shared" si="62"/>
        <v>4.6999999999999993</v>
      </c>
      <c r="AK40" s="75">
        <f t="shared" si="62"/>
        <v>5.4</v>
      </c>
      <c r="AL40" s="75">
        <f t="shared" si="62"/>
        <v>6.1999999999999993</v>
      </c>
      <c r="AM40" s="75">
        <f t="shared" si="62"/>
        <v>6.9</v>
      </c>
      <c r="AN40" s="75">
        <f t="shared" si="62"/>
        <v>7.9</v>
      </c>
      <c r="AO40" s="75">
        <f t="shared" si="62"/>
        <v>9.1</v>
      </c>
    </row>
    <row r="41" spans="1:41" ht="17.25" outlineLevel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17.25" customHeight="1" x14ac:dyDescent="0.15">
      <c r="A42" s="19"/>
      <c r="B42" s="19"/>
      <c r="C42" s="19"/>
      <c r="D42" s="19"/>
      <c r="E42" s="7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70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70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55.5" customHeight="1" x14ac:dyDescent="0.4">
      <c r="A43" s="80" t="s">
        <v>76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7.5" customHeight="1" outlineLevel="1" x14ac:dyDescent="0.45">
      <c r="A44" s="55" t="s">
        <v>77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4"/>
      <c r="Y44" s="4"/>
      <c r="Z44" s="4"/>
      <c r="AA44" s="4"/>
      <c r="AB44" s="4"/>
      <c r="AC44" s="2"/>
      <c r="AD44" s="2"/>
      <c r="AE44" s="2"/>
      <c r="AF44" s="2"/>
      <c r="AG44" s="2"/>
      <c r="AH44" s="2"/>
      <c r="AI44" s="2"/>
      <c r="AJ44" s="2"/>
      <c r="AK44" s="4"/>
      <c r="AL44" s="4"/>
      <c r="AM44" s="4"/>
      <c r="AN44" s="4"/>
      <c r="AO44" s="4"/>
    </row>
    <row r="45" spans="1:41" ht="21" outlineLevel="2" x14ac:dyDescent="0.4">
      <c r="A45" s="155" t="s">
        <v>62</v>
      </c>
      <c r="B45" s="56"/>
      <c r="C45" s="57">
        <v>45291</v>
      </c>
      <c r="D45" s="58">
        <v>44927</v>
      </c>
      <c r="E45" s="58">
        <v>44958</v>
      </c>
      <c r="F45" s="58">
        <v>44986</v>
      </c>
      <c r="G45" s="58">
        <v>45017</v>
      </c>
      <c r="H45" s="58">
        <v>45047</v>
      </c>
      <c r="I45" s="58">
        <v>45078</v>
      </c>
      <c r="J45" s="58">
        <v>45108</v>
      </c>
      <c r="K45" s="58">
        <v>45139</v>
      </c>
      <c r="L45" s="58">
        <v>45170</v>
      </c>
      <c r="M45" s="58">
        <v>45200</v>
      </c>
      <c r="N45" s="58">
        <v>45231</v>
      </c>
      <c r="O45" s="59">
        <v>45261</v>
      </c>
      <c r="P45" s="57">
        <v>45657</v>
      </c>
      <c r="Q45" s="60">
        <v>45292</v>
      </c>
      <c r="R45" s="60">
        <v>45323</v>
      </c>
      <c r="S45" s="60">
        <v>45352</v>
      </c>
      <c r="T45" s="60">
        <v>45383</v>
      </c>
      <c r="U45" s="60">
        <v>45413</v>
      </c>
      <c r="V45" s="60">
        <v>45444</v>
      </c>
      <c r="W45" s="60">
        <v>45474</v>
      </c>
      <c r="X45" s="60">
        <v>45505</v>
      </c>
      <c r="Y45" s="60">
        <v>45536</v>
      </c>
      <c r="Z45" s="60">
        <v>45566</v>
      </c>
      <c r="AA45" s="60">
        <v>45597</v>
      </c>
      <c r="AB45" s="60">
        <v>45627</v>
      </c>
      <c r="AC45" s="57">
        <v>46022</v>
      </c>
      <c r="AD45" s="60">
        <v>45658</v>
      </c>
      <c r="AE45" s="60">
        <v>45689</v>
      </c>
      <c r="AF45" s="60">
        <v>45717</v>
      </c>
      <c r="AG45" s="60">
        <v>45748</v>
      </c>
      <c r="AH45" s="60">
        <v>45778</v>
      </c>
      <c r="AI45" s="60">
        <v>45809</v>
      </c>
      <c r="AJ45" s="60">
        <v>45839</v>
      </c>
      <c r="AK45" s="60">
        <v>45870</v>
      </c>
      <c r="AL45" s="60">
        <v>45901</v>
      </c>
      <c r="AM45" s="60">
        <v>45931</v>
      </c>
      <c r="AN45" s="60">
        <v>45962</v>
      </c>
      <c r="AO45" s="60">
        <v>45992</v>
      </c>
    </row>
    <row r="46" spans="1:41" ht="18.75" outlineLevel="2" x14ac:dyDescent="0.4">
      <c r="A46" s="156"/>
      <c r="B46" s="63" t="s">
        <v>58</v>
      </c>
      <c r="C46" s="64">
        <f t="shared" ref="C46:AO46" si="63">C47</f>
        <v>749844782.39999998</v>
      </c>
      <c r="D46" s="64">
        <f t="shared" si="63"/>
        <v>0</v>
      </c>
      <c r="E46" s="64">
        <f t="shared" si="63"/>
        <v>0</v>
      </c>
      <c r="F46" s="64">
        <f t="shared" si="63"/>
        <v>0</v>
      </c>
      <c r="G46" s="64">
        <f t="shared" si="63"/>
        <v>0</v>
      </c>
      <c r="H46" s="64">
        <f t="shared" si="63"/>
        <v>25418467.200000003</v>
      </c>
      <c r="I46" s="64">
        <f t="shared" si="63"/>
        <v>63546168</v>
      </c>
      <c r="J46" s="64">
        <f t="shared" si="63"/>
        <v>88964635.199999988</v>
      </c>
      <c r="K46" s="64">
        <f t="shared" si="63"/>
        <v>101673868.80000001</v>
      </c>
      <c r="L46" s="64">
        <f t="shared" si="63"/>
        <v>88964635.199999988</v>
      </c>
      <c r="M46" s="64">
        <f t="shared" si="63"/>
        <v>127092336</v>
      </c>
      <c r="N46" s="64">
        <f t="shared" si="63"/>
        <v>127092336</v>
      </c>
      <c r="O46" s="64">
        <f t="shared" si="63"/>
        <v>127092336</v>
      </c>
      <c r="P46" s="64">
        <f t="shared" si="63"/>
        <v>2300371281.6000004</v>
      </c>
      <c r="Q46" s="64">
        <f t="shared" si="63"/>
        <v>127092336</v>
      </c>
      <c r="R46" s="64">
        <f t="shared" si="63"/>
        <v>152510803.20000002</v>
      </c>
      <c r="S46" s="64">
        <f t="shared" si="63"/>
        <v>190638504</v>
      </c>
      <c r="T46" s="64">
        <f t="shared" si="63"/>
        <v>190638504</v>
      </c>
      <c r="U46" s="64">
        <f t="shared" si="63"/>
        <v>190638504</v>
      </c>
      <c r="V46" s="64">
        <f t="shared" si="63"/>
        <v>190638504</v>
      </c>
      <c r="W46" s="64">
        <f t="shared" si="63"/>
        <v>165220036.79999998</v>
      </c>
      <c r="X46" s="64">
        <f t="shared" si="63"/>
        <v>152510803.20000002</v>
      </c>
      <c r="Y46" s="64">
        <f t="shared" si="63"/>
        <v>190638504</v>
      </c>
      <c r="Z46" s="64">
        <f t="shared" si="63"/>
        <v>216056971.19999999</v>
      </c>
      <c r="AA46" s="64">
        <f t="shared" si="63"/>
        <v>254184672</v>
      </c>
      <c r="AB46" s="64">
        <f t="shared" si="63"/>
        <v>279603139.20000005</v>
      </c>
      <c r="AC46" s="64">
        <f t="shared" si="63"/>
        <v>7434901656</v>
      </c>
      <c r="AD46" s="64">
        <f t="shared" si="63"/>
        <v>317730840</v>
      </c>
      <c r="AE46" s="64">
        <f t="shared" si="63"/>
        <v>317730840</v>
      </c>
      <c r="AF46" s="64">
        <f t="shared" si="63"/>
        <v>343149307.20000005</v>
      </c>
      <c r="AG46" s="64">
        <f t="shared" si="63"/>
        <v>406695475.20000005</v>
      </c>
      <c r="AH46" s="64">
        <f t="shared" si="63"/>
        <v>444823176</v>
      </c>
      <c r="AI46" s="64">
        <f t="shared" si="63"/>
        <v>495660110.40000004</v>
      </c>
      <c r="AJ46" s="64">
        <f t="shared" si="63"/>
        <v>597333979.19999993</v>
      </c>
      <c r="AK46" s="64">
        <f t="shared" si="63"/>
        <v>686298614.4000001</v>
      </c>
      <c r="AL46" s="64">
        <f t="shared" si="63"/>
        <v>787972483.19999993</v>
      </c>
      <c r="AM46" s="64">
        <f t="shared" si="63"/>
        <v>876937118.4000001</v>
      </c>
      <c r="AN46" s="64">
        <f t="shared" si="63"/>
        <v>1004029454.4000001</v>
      </c>
      <c r="AO46" s="64">
        <f t="shared" si="63"/>
        <v>1156540257.5999999</v>
      </c>
    </row>
    <row r="47" spans="1:41" ht="17.25" outlineLevel="2" x14ac:dyDescent="0.3">
      <c r="A47" s="81" t="s">
        <v>73</v>
      </c>
      <c r="B47" s="13">
        <f t="shared" ref="B47:B49" si="64">B38</f>
        <v>1</v>
      </c>
      <c r="C47" s="67">
        <f t="shared" ref="C47:C49" si="65">SUM(D47:O47)</f>
        <v>749844782.39999998</v>
      </c>
      <c r="D47" s="67">
        <f t="shared" ref="D47:O47" si="66">SUM(D48:D49)</f>
        <v>0</v>
      </c>
      <c r="E47" s="67">
        <f t="shared" si="66"/>
        <v>0</v>
      </c>
      <c r="F47" s="67">
        <f t="shared" si="66"/>
        <v>0</v>
      </c>
      <c r="G47" s="67">
        <f t="shared" si="66"/>
        <v>0</v>
      </c>
      <c r="H47" s="67">
        <f t="shared" si="66"/>
        <v>25418467.200000003</v>
      </c>
      <c r="I47" s="67">
        <f t="shared" si="66"/>
        <v>63546168</v>
      </c>
      <c r="J47" s="67">
        <f t="shared" si="66"/>
        <v>88964635.199999988</v>
      </c>
      <c r="K47" s="67">
        <f t="shared" si="66"/>
        <v>101673868.80000001</v>
      </c>
      <c r="L47" s="67">
        <f t="shared" si="66"/>
        <v>88964635.199999988</v>
      </c>
      <c r="M47" s="67">
        <f t="shared" si="66"/>
        <v>127092336</v>
      </c>
      <c r="N47" s="67">
        <f t="shared" si="66"/>
        <v>127092336</v>
      </c>
      <c r="O47" s="67">
        <f t="shared" si="66"/>
        <v>127092336</v>
      </c>
      <c r="P47" s="67">
        <f t="shared" ref="P47:P49" si="67">SUM(Q47:AB47)</f>
        <v>2300371281.6000004</v>
      </c>
      <c r="Q47" s="67">
        <f t="shared" ref="Q47:AB47" si="68">SUM(Q48:Q49)</f>
        <v>127092336</v>
      </c>
      <c r="R47" s="67">
        <f t="shared" si="68"/>
        <v>152510803.20000002</v>
      </c>
      <c r="S47" s="67">
        <f t="shared" si="68"/>
        <v>190638504</v>
      </c>
      <c r="T47" s="67">
        <f t="shared" si="68"/>
        <v>190638504</v>
      </c>
      <c r="U47" s="67">
        <f t="shared" si="68"/>
        <v>190638504</v>
      </c>
      <c r="V47" s="67">
        <f t="shared" si="68"/>
        <v>190638504</v>
      </c>
      <c r="W47" s="67">
        <f t="shared" si="68"/>
        <v>165220036.79999998</v>
      </c>
      <c r="X47" s="67">
        <f t="shared" si="68"/>
        <v>152510803.20000002</v>
      </c>
      <c r="Y47" s="67">
        <f t="shared" si="68"/>
        <v>190638504</v>
      </c>
      <c r="Z47" s="67">
        <f t="shared" si="68"/>
        <v>216056971.19999999</v>
      </c>
      <c r="AA47" s="67">
        <f t="shared" si="68"/>
        <v>254184672</v>
      </c>
      <c r="AB47" s="67">
        <f t="shared" si="68"/>
        <v>279603139.20000005</v>
      </c>
      <c r="AC47" s="67">
        <f t="shared" ref="AC47:AC49" si="69">SUM(AD47:AO47)</f>
        <v>7434901656</v>
      </c>
      <c r="AD47" s="67">
        <f t="shared" ref="AD47:AO47" si="70">SUM(AD48:AD49)</f>
        <v>317730840</v>
      </c>
      <c r="AE47" s="67">
        <f t="shared" si="70"/>
        <v>317730840</v>
      </c>
      <c r="AF47" s="67">
        <f t="shared" si="70"/>
        <v>343149307.20000005</v>
      </c>
      <c r="AG47" s="67">
        <f t="shared" si="70"/>
        <v>406695475.20000005</v>
      </c>
      <c r="AH47" s="67">
        <f t="shared" si="70"/>
        <v>444823176</v>
      </c>
      <c r="AI47" s="67">
        <f t="shared" si="70"/>
        <v>495660110.40000004</v>
      </c>
      <c r="AJ47" s="67">
        <f t="shared" si="70"/>
        <v>597333979.19999993</v>
      </c>
      <c r="AK47" s="67">
        <f t="shared" si="70"/>
        <v>686298614.4000001</v>
      </c>
      <c r="AL47" s="67">
        <f t="shared" si="70"/>
        <v>787972483.19999993</v>
      </c>
      <c r="AM47" s="67">
        <f t="shared" si="70"/>
        <v>876937118.4000001</v>
      </c>
      <c r="AN47" s="67">
        <f t="shared" si="70"/>
        <v>1004029454.4000001</v>
      </c>
      <c r="AO47" s="67">
        <f t="shared" si="70"/>
        <v>1156540257.5999999</v>
      </c>
    </row>
    <row r="48" spans="1:41" ht="17.25" outlineLevel="3" x14ac:dyDescent="0.3">
      <c r="A48" s="74" t="s">
        <v>66</v>
      </c>
      <c r="B48" s="83">
        <f t="shared" si="64"/>
        <v>0.5</v>
      </c>
      <c r="C48" s="67">
        <f t="shared" si="65"/>
        <v>381736891.19999999</v>
      </c>
      <c r="D48" s="75">
        <f t="shared" ref="D48:F48" si="71">D31</f>
        <v>0</v>
      </c>
      <c r="E48" s="75">
        <f t="shared" si="71"/>
        <v>0</v>
      </c>
      <c r="F48" s="75">
        <f t="shared" si="71"/>
        <v>0</v>
      </c>
      <c r="G48" s="75">
        <v>0</v>
      </c>
      <c r="H48" s="75">
        <f>H39*'КАЛЬКУЛЯЦИЯ ПАРТИИ ТОВАРОВ'!$E$18*2</f>
        <v>12940233.600000001</v>
      </c>
      <c r="I48" s="75">
        <f>I39*'КАЛЬКУЛЯЦИЯ ПАРТИИ ТОВАРОВ'!$E$18*2</f>
        <v>32350584</v>
      </c>
      <c r="J48" s="75">
        <f>J39*'КАЛЬКУЛЯЦИЯ ПАРТИИ ТОВАРОВ'!$E$18*2</f>
        <v>45290817.599999994</v>
      </c>
      <c r="K48" s="75">
        <f>K39*'КАЛЬКУЛЯЦИЯ ПАРТИИ ТОВАРОВ'!$E$18*2</f>
        <v>51760934.400000006</v>
      </c>
      <c r="L48" s="75">
        <f>L39*'КАЛЬКУЛЯЦИЯ ПАРТИИ ТОВАРОВ'!$E$18*2</f>
        <v>45290817.599999994</v>
      </c>
      <c r="M48" s="75">
        <f>M39*'КАЛЬКУЛЯЦИЯ ПАРТИИ ТОВАРОВ'!$E$18*2</f>
        <v>64701168</v>
      </c>
      <c r="N48" s="75">
        <f>N39*'КАЛЬКУЛЯЦИЯ ПАРТИИ ТОВАРОВ'!$E$18*2</f>
        <v>64701168</v>
      </c>
      <c r="O48" s="75">
        <f>O39*'КАЛЬКУЛЯЦИЯ ПАРТИИ ТОВАРОВ'!$E$18*2</f>
        <v>64701168</v>
      </c>
      <c r="P48" s="67">
        <f t="shared" si="67"/>
        <v>1171091140.8000002</v>
      </c>
      <c r="Q48" s="75">
        <f>Q39*'КАЛЬКУЛЯЦИЯ ПАРТИИ ТОВАРОВ'!$E$18*2</f>
        <v>64701168</v>
      </c>
      <c r="R48" s="75">
        <f>R39*'КАЛЬКУЛЯЦИЯ ПАРТИИ ТОВАРОВ'!$E$18*2</f>
        <v>77641401.600000009</v>
      </c>
      <c r="S48" s="75">
        <f>S39*'КАЛЬКУЛЯЦИЯ ПАРТИИ ТОВАРОВ'!$E$18*2</f>
        <v>97051752</v>
      </c>
      <c r="T48" s="75">
        <f>T39*'КАЛЬКУЛЯЦИЯ ПАРТИИ ТОВАРОВ'!$E$18*2</f>
        <v>97051752</v>
      </c>
      <c r="U48" s="75">
        <f>U39*'КАЛЬКУЛЯЦИЯ ПАРТИИ ТОВАРОВ'!$E$18*2</f>
        <v>97051752</v>
      </c>
      <c r="V48" s="75">
        <f>V39*'КАЛЬКУЛЯЦИЯ ПАРТИИ ТОВАРОВ'!$E$18*2</f>
        <v>97051752</v>
      </c>
      <c r="W48" s="75">
        <f>W39*'КАЛЬКУЛЯЦИЯ ПАРТИИ ТОВАРОВ'!$E$18*2</f>
        <v>84111518.399999991</v>
      </c>
      <c r="X48" s="75">
        <f>X39*'КАЛЬКУЛЯЦИЯ ПАРТИИ ТОВАРОВ'!$E$18*2</f>
        <v>77641401.600000009</v>
      </c>
      <c r="Y48" s="75">
        <f>Y39*'КАЛЬКУЛЯЦИЯ ПАРТИИ ТОВАРОВ'!$E$18*2</f>
        <v>97051752</v>
      </c>
      <c r="Z48" s="75">
        <f>Z39*'КАЛЬКУЛЯЦИЯ ПАРТИИ ТОВАРОВ'!$E$18*2</f>
        <v>109991985.59999999</v>
      </c>
      <c r="AA48" s="75">
        <f>AA39*'КАЛЬКУЛЯЦИЯ ПАРТИИ ТОВАРОВ'!$E$18*2</f>
        <v>129402336</v>
      </c>
      <c r="AB48" s="75">
        <f>AB39*'КАЛЬКУЛЯЦИЯ ПАРТИИ ТОВАРОВ'!$E$18*2</f>
        <v>142342569.60000002</v>
      </c>
      <c r="AC48" s="67">
        <f t="shared" si="69"/>
        <v>3785018328</v>
      </c>
      <c r="AD48" s="75">
        <f>AD39*'КАЛЬКУЛЯЦИЯ ПАРТИИ ТОВАРОВ'!$E$18*2</f>
        <v>161752920</v>
      </c>
      <c r="AE48" s="75">
        <f>AE39*'КАЛЬКУЛЯЦИЯ ПАРТИИ ТОВАРОВ'!$E$18*2</f>
        <v>161752920</v>
      </c>
      <c r="AF48" s="75">
        <f>AF39*'КАЛЬКУЛЯЦИЯ ПАРТИИ ТОВАРОВ'!$E$18*2</f>
        <v>174693153.60000002</v>
      </c>
      <c r="AG48" s="75">
        <f>AG39*'КАЛЬКУЛЯЦИЯ ПАРТИИ ТОВАРОВ'!$E$18*2</f>
        <v>207043737.60000002</v>
      </c>
      <c r="AH48" s="75">
        <f>AH39*'КАЛЬКУЛЯЦИЯ ПАРТИИ ТОВАРОВ'!$E$18*2</f>
        <v>226454088</v>
      </c>
      <c r="AI48" s="75">
        <f>AI39*'КАЛЬКУЛЯЦИЯ ПАРТИИ ТОВАРОВ'!$E$18*2</f>
        <v>252334555.20000002</v>
      </c>
      <c r="AJ48" s="75">
        <f>AJ39*'КАЛЬКУЛЯЦИЯ ПАРТИИ ТОВАРОВ'!$E$18*2</f>
        <v>304095489.59999996</v>
      </c>
      <c r="AK48" s="75">
        <f>AK39*'КАЛЬКУЛЯЦИЯ ПАРТИИ ТОВАРОВ'!$E$18*2</f>
        <v>349386307.20000005</v>
      </c>
      <c r="AL48" s="75">
        <f>AL39*'КАЛЬКУЛЯЦИЯ ПАРТИИ ТОВАРОВ'!$E$18*2</f>
        <v>401147241.59999996</v>
      </c>
      <c r="AM48" s="75">
        <f>AM39*'КАЛЬКУЛЯЦИЯ ПАРТИИ ТОВАРОВ'!$E$18*2</f>
        <v>446438059.20000005</v>
      </c>
      <c r="AN48" s="75">
        <f>AN39*'КАЛЬКУЛЯЦИЯ ПАРТИИ ТОВАРОВ'!$E$18*2</f>
        <v>511139227.20000005</v>
      </c>
      <c r="AO48" s="75">
        <f>AO39*'КАЛЬКУЛЯЦИЯ ПАРТИИ ТОВАРОВ'!$E$18*2</f>
        <v>588780628.79999995</v>
      </c>
    </row>
    <row r="49" spans="1:41" ht="17.25" outlineLevel="3" x14ac:dyDescent="0.3">
      <c r="A49" s="74" t="s">
        <v>74</v>
      </c>
      <c r="B49" s="83">
        <f t="shared" si="64"/>
        <v>0.5</v>
      </c>
      <c r="C49" s="67">
        <f t="shared" si="65"/>
        <v>368107891.19999999</v>
      </c>
      <c r="D49" s="75">
        <f t="shared" ref="D49:F49" si="72">D32</f>
        <v>0</v>
      </c>
      <c r="E49" s="75">
        <f t="shared" si="72"/>
        <v>0</v>
      </c>
      <c r="F49" s="75">
        <f t="shared" si="72"/>
        <v>0</v>
      </c>
      <c r="G49" s="75">
        <v>0</v>
      </c>
      <c r="H49" s="75">
        <f>H40*'КАЛЬКУЛЯЦИЯ ПАРТИИ ТОВАРОВ'!$E$25*2</f>
        <v>12478233.600000001</v>
      </c>
      <c r="I49" s="75">
        <f>I40*'КАЛЬКУЛЯЦИЯ ПАРТИИ ТОВАРОВ'!$E$25*2</f>
        <v>31195584</v>
      </c>
      <c r="J49" s="75">
        <f>J40*'КАЛЬКУЛЯЦИЯ ПАРТИИ ТОВАРОВ'!$E$25*2</f>
        <v>43673817.599999994</v>
      </c>
      <c r="K49" s="75">
        <f>K40*'КАЛЬКУЛЯЦИЯ ПАРТИИ ТОВАРОВ'!$E$25*2</f>
        <v>49912934.400000006</v>
      </c>
      <c r="L49" s="75">
        <f>L40*'КАЛЬКУЛЯЦИЯ ПАРТИИ ТОВАРОВ'!$E$25*2</f>
        <v>43673817.599999994</v>
      </c>
      <c r="M49" s="75">
        <f>M40*'КАЛЬКУЛЯЦИЯ ПАРТИИ ТОВАРОВ'!$E$25*2</f>
        <v>62391168</v>
      </c>
      <c r="N49" s="75">
        <f>N40*'КАЛЬКУЛЯЦИЯ ПАРТИИ ТОВАРОВ'!$E$25*2</f>
        <v>62391168</v>
      </c>
      <c r="O49" s="75">
        <f>O40*'КАЛЬКУЛЯЦИЯ ПАРТИИ ТОВАРОВ'!$E$25*2</f>
        <v>62391168</v>
      </c>
      <c r="P49" s="67">
        <f t="shared" si="67"/>
        <v>1129280140.8000002</v>
      </c>
      <c r="Q49" s="75">
        <f>Q40*'КАЛЬКУЛЯЦИЯ ПАРТИИ ТОВАРОВ'!$E$25*2</f>
        <v>62391168</v>
      </c>
      <c r="R49" s="75">
        <f>R40*'КАЛЬКУЛЯЦИЯ ПАРТИИ ТОВАРОВ'!$E$25*2</f>
        <v>74869401.600000009</v>
      </c>
      <c r="S49" s="75">
        <f>S40*'КАЛЬКУЛЯЦИЯ ПАРТИИ ТОВАРОВ'!$E$25*2</f>
        <v>93586752</v>
      </c>
      <c r="T49" s="75">
        <f>T40*'КАЛЬКУЛЯЦИЯ ПАРТИИ ТОВАРОВ'!$E$25*2</f>
        <v>93586752</v>
      </c>
      <c r="U49" s="75">
        <f>U40*'КАЛЬКУЛЯЦИЯ ПАРТИИ ТОВАРОВ'!$E$25*2</f>
        <v>93586752</v>
      </c>
      <c r="V49" s="75">
        <f>V40*'КАЛЬКУЛЯЦИЯ ПАРТИИ ТОВАРОВ'!$E$25*2</f>
        <v>93586752</v>
      </c>
      <c r="W49" s="75">
        <f>W40*'КАЛЬКУЛЯЦИЯ ПАРТИИ ТОВАРОВ'!$E$25*2</f>
        <v>81108518.399999991</v>
      </c>
      <c r="X49" s="75">
        <f>X40*'КАЛЬКУЛЯЦИЯ ПАРТИИ ТОВАРОВ'!$E$25*2</f>
        <v>74869401.600000009</v>
      </c>
      <c r="Y49" s="75">
        <f>Y40*'КАЛЬКУЛЯЦИЯ ПАРТИИ ТОВАРОВ'!$E$25*2</f>
        <v>93586752</v>
      </c>
      <c r="Z49" s="75">
        <f>Z40*'КАЛЬКУЛЯЦИЯ ПАРТИИ ТОВАРОВ'!$E$25*2</f>
        <v>106064985.59999999</v>
      </c>
      <c r="AA49" s="75">
        <f>AA40*'КАЛЬКУЛЯЦИЯ ПАРТИИ ТОВАРОВ'!$E$25*2</f>
        <v>124782336</v>
      </c>
      <c r="AB49" s="75">
        <f>AB40*'КАЛЬКУЛЯЦИЯ ПАРТИИ ТОВАРОВ'!$E$25*2</f>
        <v>137260569.60000002</v>
      </c>
      <c r="AC49" s="67">
        <f t="shared" si="69"/>
        <v>3649883328</v>
      </c>
      <c r="AD49" s="75">
        <f>AD40*'КАЛЬКУЛЯЦИЯ ПАРТИИ ТОВАРОВ'!$E$25*2</f>
        <v>155977920</v>
      </c>
      <c r="AE49" s="75">
        <f>AE40*'КАЛЬКУЛЯЦИЯ ПАРТИИ ТОВАРОВ'!$E$25*2</f>
        <v>155977920</v>
      </c>
      <c r="AF49" s="75">
        <f>AF40*'КАЛЬКУЛЯЦИЯ ПАРТИИ ТОВАРОВ'!$E$25*2</f>
        <v>168456153.60000002</v>
      </c>
      <c r="AG49" s="75">
        <f>AG40*'КАЛЬКУЛЯЦИЯ ПАРТИИ ТОВАРОВ'!$E$25*2</f>
        <v>199651737.60000002</v>
      </c>
      <c r="AH49" s="75">
        <f>AH40*'КАЛЬКУЛЯЦИЯ ПАРТИИ ТОВАРОВ'!$E$25*2</f>
        <v>218369088</v>
      </c>
      <c r="AI49" s="75">
        <f>AI40*'КАЛЬКУЛЯЦИЯ ПАРТИИ ТОВАРОВ'!$E$25*2</f>
        <v>243325555.20000002</v>
      </c>
      <c r="AJ49" s="75">
        <f>AJ40*'КАЛЬКУЛЯЦИЯ ПАРТИИ ТОВАРОВ'!$E$25*2</f>
        <v>293238489.59999996</v>
      </c>
      <c r="AK49" s="75">
        <f>AK40*'КАЛЬКУЛЯЦИЯ ПАРТИИ ТОВАРОВ'!$E$25*2</f>
        <v>336912307.20000005</v>
      </c>
      <c r="AL49" s="75">
        <f>AL40*'КАЛЬКУЛЯЦИЯ ПАРТИИ ТОВАРОВ'!$E$25*2</f>
        <v>386825241.59999996</v>
      </c>
      <c r="AM49" s="75">
        <f>AM40*'КАЛЬКУЛЯЦИЯ ПАРТИИ ТОВАРОВ'!$E$25*2</f>
        <v>430499059.20000005</v>
      </c>
      <c r="AN49" s="75">
        <f>AN40*'КАЛЬКУЛЯЦИЯ ПАРТИИ ТОВАРОВ'!$E$25*2</f>
        <v>492890227.20000005</v>
      </c>
      <c r="AO49" s="75">
        <f>AO40*'КАЛЬКУЛЯЦИЯ ПАРТИИ ТОВАРОВ'!$E$25*2</f>
        <v>567759628.79999995</v>
      </c>
    </row>
    <row r="50" spans="1:41" ht="17.25" outlineLevel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7.5" customHeight="1" outlineLevel="1" x14ac:dyDescent="0.45">
      <c r="A51" s="55" t="s">
        <v>78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4"/>
      <c r="Y51" s="4"/>
      <c r="Z51" s="4"/>
      <c r="AA51" s="4"/>
      <c r="AB51" s="4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  <c r="AN51" s="4"/>
      <c r="AO51" s="4"/>
    </row>
    <row r="52" spans="1:41" ht="21" outlineLevel="2" x14ac:dyDescent="0.4">
      <c r="A52" s="155" t="s">
        <v>62</v>
      </c>
      <c r="B52" s="56"/>
      <c r="C52" s="57">
        <v>45291</v>
      </c>
      <c r="D52" s="58">
        <v>44927</v>
      </c>
      <c r="E52" s="58">
        <v>44958</v>
      </c>
      <c r="F52" s="58">
        <v>44986</v>
      </c>
      <c r="G52" s="58">
        <v>45017</v>
      </c>
      <c r="H52" s="58">
        <v>45047</v>
      </c>
      <c r="I52" s="58">
        <v>45078</v>
      </c>
      <c r="J52" s="58">
        <v>45108</v>
      </c>
      <c r="K52" s="58">
        <v>45139</v>
      </c>
      <c r="L52" s="58">
        <v>45170</v>
      </c>
      <c r="M52" s="58">
        <v>45200</v>
      </c>
      <c r="N52" s="58">
        <v>45231</v>
      </c>
      <c r="O52" s="59">
        <v>45261</v>
      </c>
      <c r="P52" s="57">
        <v>45657</v>
      </c>
      <c r="Q52" s="60">
        <v>45292</v>
      </c>
      <c r="R52" s="60">
        <v>45323</v>
      </c>
      <c r="S52" s="60">
        <v>45352</v>
      </c>
      <c r="T52" s="60">
        <v>45383</v>
      </c>
      <c r="U52" s="60">
        <v>45413</v>
      </c>
      <c r="V52" s="60">
        <v>45444</v>
      </c>
      <c r="W52" s="60">
        <v>45474</v>
      </c>
      <c r="X52" s="60">
        <v>45505</v>
      </c>
      <c r="Y52" s="60">
        <v>45536</v>
      </c>
      <c r="Z52" s="60">
        <v>45566</v>
      </c>
      <c r="AA52" s="60">
        <v>45597</v>
      </c>
      <c r="AB52" s="60">
        <v>45627</v>
      </c>
      <c r="AC52" s="57">
        <v>46022</v>
      </c>
      <c r="AD52" s="60">
        <v>45658</v>
      </c>
      <c r="AE52" s="60">
        <v>45689</v>
      </c>
      <c r="AF52" s="60">
        <v>45717</v>
      </c>
      <c r="AG52" s="60">
        <v>45748</v>
      </c>
      <c r="AH52" s="60">
        <v>45778</v>
      </c>
      <c r="AI52" s="60">
        <v>45809</v>
      </c>
      <c r="AJ52" s="60">
        <v>45839</v>
      </c>
      <c r="AK52" s="60">
        <v>45870</v>
      </c>
      <c r="AL52" s="60">
        <v>45901</v>
      </c>
      <c r="AM52" s="60">
        <v>45931</v>
      </c>
      <c r="AN52" s="60">
        <v>45962</v>
      </c>
      <c r="AO52" s="60">
        <v>45992</v>
      </c>
    </row>
    <row r="53" spans="1:41" ht="18.75" outlineLevel="2" x14ac:dyDescent="0.4">
      <c r="A53" s="156"/>
      <c r="B53" s="63" t="s">
        <v>58</v>
      </c>
      <c r="C53" s="64">
        <f t="shared" ref="C53:O53" si="73">C54</f>
        <v>1486800000</v>
      </c>
      <c r="D53" s="64">
        <f t="shared" si="73"/>
        <v>0</v>
      </c>
      <c r="E53" s="64">
        <f t="shared" si="73"/>
        <v>0</v>
      </c>
      <c r="F53" s="64">
        <f t="shared" si="73"/>
        <v>0</v>
      </c>
      <c r="G53" s="64">
        <f t="shared" si="73"/>
        <v>0</v>
      </c>
      <c r="H53" s="64">
        <f t="shared" si="73"/>
        <v>50400000</v>
      </c>
      <c r="I53" s="64">
        <f t="shared" si="73"/>
        <v>125999999.99999999</v>
      </c>
      <c r="J53" s="64">
        <f t="shared" si="73"/>
        <v>176399999.99999997</v>
      </c>
      <c r="K53" s="64">
        <f t="shared" si="73"/>
        <v>201600000</v>
      </c>
      <c r="L53" s="64">
        <f t="shared" si="73"/>
        <v>176399999.99999997</v>
      </c>
      <c r="M53" s="64">
        <f t="shared" si="73"/>
        <v>251999999.99999997</v>
      </c>
      <c r="N53" s="64">
        <f t="shared" si="73"/>
        <v>251999999.99999997</v>
      </c>
      <c r="O53" s="64">
        <f t="shared" si="73"/>
        <v>251999999.99999997</v>
      </c>
      <c r="P53" s="64">
        <f t="shared" ref="P53:P56" si="74">SUM(Q53:AB53)</f>
        <v>4561200000</v>
      </c>
      <c r="Q53" s="64">
        <f t="shared" ref="Q53:AO53" si="75">Q54</f>
        <v>251999999.99999997</v>
      </c>
      <c r="R53" s="64">
        <f t="shared" si="75"/>
        <v>302400000</v>
      </c>
      <c r="S53" s="64">
        <f t="shared" si="75"/>
        <v>377999999.99999994</v>
      </c>
      <c r="T53" s="64">
        <f t="shared" si="75"/>
        <v>377999999.99999994</v>
      </c>
      <c r="U53" s="64">
        <f t="shared" si="75"/>
        <v>377999999.99999994</v>
      </c>
      <c r="V53" s="64">
        <f t="shared" si="75"/>
        <v>377999999.99999994</v>
      </c>
      <c r="W53" s="64">
        <f t="shared" si="75"/>
        <v>327599999.99999994</v>
      </c>
      <c r="X53" s="64">
        <f t="shared" si="75"/>
        <v>302400000</v>
      </c>
      <c r="Y53" s="64">
        <f t="shared" si="75"/>
        <v>377999999.99999994</v>
      </c>
      <c r="Z53" s="64">
        <f t="shared" si="75"/>
        <v>428399999.99999994</v>
      </c>
      <c r="AA53" s="64">
        <f t="shared" si="75"/>
        <v>503999999.99999994</v>
      </c>
      <c r="AB53" s="64">
        <f t="shared" si="75"/>
        <v>554400000</v>
      </c>
      <c r="AC53" s="64">
        <f t="shared" si="75"/>
        <v>14742000000</v>
      </c>
      <c r="AD53" s="64">
        <f t="shared" si="75"/>
        <v>629999999.99999988</v>
      </c>
      <c r="AE53" s="64">
        <f t="shared" si="75"/>
        <v>629999999.99999988</v>
      </c>
      <c r="AF53" s="64">
        <f t="shared" si="75"/>
        <v>680400000</v>
      </c>
      <c r="AG53" s="64">
        <f t="shared" si="75"/>
        <v>806400000</v>
      </c>
      <c r="AH53" s="64">
        <f t="shared" si="75"/>
        <v>881999999.99999988</v>
      </c>
      <c r="AI53" s="64">
        <f t="shared" si="75"/>
        <v>982800000</v>
      </c>
      <c r="AJ53" s="64">
        <f t="shared" si="75"/>
        <v>1184399999.9999998</v>
      </c>
      <c r="AK53" s="64">
        <f t="shared" si="75"/>
        <v>1360800000</v>
      </c>
      <c r="AL53" s="64">
        <f t="shared" si="75"/>
        <v>1562399999.9999995</v>
      </c>
      <c r="AM53" s="64">
        <f t="shared" si="75"/>
        <v>1738800000</v>
      </c>
      <c r="AN53" s="64">
        <f t="shared" si="75"/>
        <v>1990799999.9999998</v>
      </c>
      <c r="AO53" s="64">
        <f t="shared" si="75"/>
        <v>2293199999.9999995</v>
      </c>
    </row>
    <row r="54" spans="1:41" ht="17.25" outlineLevel="2" x14ac:dyDescent="0.3">
      <c r="A54" s="81" t="s">
        <v>73</v>
      </c>
      <c r="B54" s="13">
        <f t="shared" ref="B54:B56" si="76">B47</f>
        <v>1</v>
      </c>
      <c r="C54" s="67">
        <f t="shared" ref="C54:C56" si="77">SUM(D54:O54)</f>
        <v>1486800000</v>
      </c>
      <c r="D54" s="67">
        <f t="shared" ref="D54:O54" si="78">SUM(D55:D56)</f>
        <v>0</v>
      </c>
      <c r="E54" s="67">
        <f t="shared" si="78"/>
        <v>0</v>
      </c>
      <c r="F54" s="67">
        <f t="shared" si="78"/>
        <v>0</v>
      </c>
      <c r="G54" s="67">
        <f t="shared" si="78"/>
        <v>0</v>
      </c>
      <c r="H54" s="67">
        <f t="shared" si="78"/>
        <v>50400000</v>
      </c>
      <c r="I54" s="67">
        <f t="shared" si="78"/>
        <v>125999999.99999999</v>
      </c>
      <c r="J54" s="67">
        <f t="shared" si="78"/>
        <v>176399999.99999997</v>
      </c>
      <c r="K54" s="67">
        <f t="shared" si="78"/>
        <v>201600000</v>
      </c>
      <c r="L54" s="67">
        <f t="shared" si="78"/>
        <v>176399999.99999997</v>
      </c>
      <c r="M54" s="67">
        <f t="shared" si="78"/>
        <v>251999999.99999997</v>
      </c>
      <c r="N54" s="67">
        <f t="shared" si="78"/>
        <v>251999999.99999997</v>
      </c>
      <c r="O54" s="82">
        <f t="shared" si="78"/>
        <v>251999999.99999997</v>
      </c>
      <c r="P54" s="67">
        <f t="shared" si="74"/>
        <v>4561200000</v>
      </c>
      <c r="Q54" s="67">
        <f t="shared" ref="Q54:AB54" si="79">SUM(Q55:Q56)</f>
        <v>251999999.99999997</v>
      </c>
      <c r="R54" s="67">
        <f t="shared" si="79"/>
        <v>302400000</v>
      </c>
      <c r="S54" s="67">
        <f t="shared" si="79"/>
        <v>377999999.99999994</v>
      </c>
      <c r="T54" s="67">
        <f t="shared" si="79"/>
        <v>377999999.99999994</v>
      </c>
      <c r="U54" s="67">
        <f t="shared" si="79"/>
        <v>377999999.99999994</v>
      </c>
      <c r="V54" s="67">
        <f t="shared" si="79"/>
        <v>377999999.99999994</v>
      </c>
      <c r="W54" s="67">
        <f t="shared" si="79"/>
        <v>327599999.99999994</v>
      </c>
      <c r="X54" s="67">
        <f t="shared" si="79"/>
        <v>302400000</v>
      </c>
      <c r="Y54" s="67">
        <f t="shared" si="79"/>
        <v>377999999.99999994</v>
      </c>
      <c r="Z54" s="67">
        <f t="shared" si="79"/>
        <v>428399999.99999994</v>
      </c>
      <c r="AA54" s="67">
        <f t="shared" si="79"/>
        <v>503999999.99999994</v>
      </c>
      <c r="AB54" s="82">
        <f t="shared" si="79"/>
        <v>554400000</v>
      </c>
      <c r="AC54" s="67">
        <f t="shared" ref="AC54:AC56" si="80">SUM(AD54:AO54)</f>
        <v>14742000000</v>
      </c>
      <c r="AD54" s="67">
        <f t="shared" ref="AD54:AO54" si="81">SUM(AD55:AD56)</f>
        <v>629999999.99999988</v>
      </c>
      <c r="AE54" s="67">
        <f t="shared" si="81"/>
        <v>629999999.99999988</v>
      </c>
      <c r="AF54" s="67">
        <f t="shared" si="81"/>
        <v>680400000</v>
      </c>
      <c r="AG54" s="67">
        <f t="shared" si="81"/>
        <v>806400000</v>
      </c>
      <c r="AH54" s="67">
        <f t="shared" si="81"/>
        <v>881999999.99999988</v>
      </c>
      <c r="AI54" s="67">
        <f t="shared" si="81"/>
        <v>982800000</v>
      </c>
      <c r="AJ54" s="67">
        <f t="shared" si="81"/>
        <v>1184399999.9999998</v>
      </c>
      <c r="AK54" s="67">
        <f t="shared" si="81"/>
        <v>1360800000</v>
      </c>
      <c r="AL54" s="67">
        <f t="shared" si="81"/>
        <v>1562399999.9999995</v>
      </c>
      <c r="AM54" s="67">
        <f t="shared" si="81"/>
        <v>1738800000</v>
      </c>
      <c r="AN54" s="67">
        <f t="shared" si="81"/>
        <v>1990799999.9999998</v>
      </c>
      <c r="AO54" s="82">
        <f t="shared" si="81"/>
        <v>2293199999.9999995</v>
      </c>
    </row>
    <row r="55" spans="1:41" ht="17.25" outlineLevel="3" x14ac:dyDescent="0.3">
      <c r="A55" s="74" t="s">
        <v>66</v>
      </c>
      <c r="B55" s="83">
        <f t="shared" si="76"/>
        <v>0.5</v>
      </c>
      <c r="C55" s="67">
        <f t="shared" si="77"/>
        <v>743400000</v>
      </c>
      <c r="D55" s="75">
        <f t="shared" ref="D55:G55" si="82">D48</f>
        <v>0</v>
      </c>
      <c r="E55" s="75">
        <f t="shared" si="82"/>
        <v>0</v>
      </c>
      <c r="F55" s="75">
        <f t="shared" si="82"/>
        <v>0</v>
      </c>
      <c r="G55" s="75">
        <f t="shared" si="82"/>
        <v>0</v>
      </c>
      <c r="H55" s="75">
        <f>H39*'КАЛЬКУЛЯЦИЯ ПАРТИИ ТОВАРОВ'!$F$4</f>
        <v>25200000</v>
      </c>
      <c r="I55" s="75">
        <f>I39*'КАЛЬКУЛЯЦИЯ ПАРТИИ ТОВАРОВ'!$F$4</f>
        <v>62999999.999999993</v>
      </c>
      <c r="J55" s="75">
        <f>J39*'КАЛЬКУЛЯЦИЯ ПАРТИИ ТОВАРОВ'!$F$4</f>
        <v>88199999.999999985</v>
      </c>
      <c r="K55" s="75">
        <f>K39*'КАЛЬКУЛЯЦИЯ ПАРТИИ ТОВАРОВ'!$F$4</f>
        <v>100800000</v>
      </c>
      <c r="L55" s="75">
        <f>L39*'КАЛЬКУЛЯЦИЯ ПАРТИИ ТОВАРОВ'!$F$4</f>
        <v>88199999.999999985</v>
      </c>
      <c r="M55" s="75">
        <f>M39*'КАЛЬКУЛЯЦИЯ ПАРТИИ ТОВАРОВ'!$F$4</f>
        <v>125999999.99999999</v>
      </c>
      <c r="N55" s="75">
        <f>N39*'КАЛЬКУЛЯЦИЯ ПАРТИИ ТОВАРОВ'!$F$4</f>
        <v>125999999.99999999</v>
      </c>
      <c r="O55" s="75">
        <f>O39*'КАЛЬКУЛЯЦИЯ ПАРТИИ ТОВАРОВ'!$F$4</f>
        <v>125999999.99999999</v>
      </c>
      <c r="P55" s="67">
        <f t="shared" si="74"/>
        <v>2280600000</v>
      </c>
      <c r="Q55" s="75">
        <f>Q39*'КАЛЬКУЛЯЦИЯ ПАРТИИ ТОВАРОВ'!$F$4</f>
        <v>125999999.99999999</v>
      </c>
      <c r="R55" s="75">
        <f>R39*'КАЛЬКУЛЯЦИЯ ПАРТИИ ТОВАРОВ'!$F$4</f>
        <v>151200000</v>
      </c>
      <c r="S55" s="75">
        <f>S39*'КАЛЬКУЛЯЦИЯ ПАРТИИ ТОВАРОВ'!$F$4</f>
        <v>188999999.99999997</v>
      </c>
      <c r="T55" s="75">
        <f>T39*'КАЛЬКУЛЯЦИЯ ПАРТИИ ТОВАРОВ'!$F$4</f>
        <v>188999999.99999997</v>
      </c>
      <c r="U55" s="75">
        <f>U39*'КАЛЬКУЛЯЦИЯ ПАРТИИ ТОВАРОВ'!$F$4</f>
        <v>188999999.99999997</v>
      </c>
      <c r="V55" s="75">
        <f>V39*'КАЛЬКУЛЯЦИЯ ПАРТИИ ТОВАРОВ'!$F$4</f>
        <v>188999999.99999997</v>
      </c>
      <c r="W55" s="75">
        <f>W39*'КАЛЬКУЛЯЦИЯ ПАРТИИ ТОВАРОВ'!$F$4</f>
        <v>163799999.99999997</v>
      </c>
      <c r="X55" s="75">
        <f>X39*'КАЛЬКУЛЯЦИЯ ПАРТИИ ТОВАРОВ'!$F$4</f>
        <v>151200000</v>
      </c>
      <c r="Y55" s="75">
        <f>Y39*'КАЛЬКУЛЯЦИЯ ПАРТИИ ТОВАРОВ'!$F$4</f>
        <v>188999999.99999997</v>
      </c>
      <c r="Z55" s="75">
        <f>Z39*'КАЛЬКУЛЯЦИЯ ПАРТИИ ТОВАРОВ'!$F$4</f>
        <v>214199999.99999997</v>
      </c>
      <c r="AA55" s="75">
        <f>AA39*'КАЛЬКУЛЯЦИЯ ПАРТИИ ТОВАРОВ'!$F$4</f>
        <v>251999999.99999997</v>
      </c>
      <c r="AB55" s="75">
        <f>AB39*'КАЛЬКУЛЯЦИЯ ПАРТИИ ТОВАРОВ'!$F$4</f>
        <v>277200000</v>
      </c>
      <c r="AC55" s="67">
        <f t="shared" si="80"/>
        <v>7371000000</v>
      </c>
      <c r="AD55" s="75">
        <f>AD39*'КАЛЬКУЛЯЦИЯ ПАРТИИ ТОВАРОВ'!$F$4</f>
        <v>314999999.99999994</v>
      </c>
      <c r="AE55" s="75">
        <f>AE39*'КАЛЬКУЛЯЦИЯ ПАРТИИ ТОВАРОВ'!$F$4</f>
        <v>314999999.99999994</v>
      </c>
      <c r="AF55" s="75">
        <f>AF39*'КАЛЬКУЛЯЦИЯ ПАРТИИ ТОВАРОВ'!$F$4</f>
        <v>340200000</v>
      </c>
      <c r="AG55" s="75">
        <f>AG39*'КАЛЬКУЛЯЦИЯ ПАРТИИ ТОВАРОВ'!$F$4</f>
        <v>403200000</v>
      </c>
      <c r="AH55" s="75">
        <f>AH39*'КАЛЬКУЛЯЦИЯ ПАРТИИ ТОВАРОВ'!$F$4</f>
        <v>440999999.99999994</v>
      </c>
      <c r="AI55" s="75">
        <f>AI39*'КАЛЬКУЛЯЦИЯ ПАРТИИ ТОВАРОВ'!$F$4</f>
        <v>491400000</v>
      </c>
      <c r="AJ55" s="75">
        <f>AJ39*'КАЛЬКУЛЯЦИЯ ПАРТИИ ТОВАРОВ'!$F$4</f>
        <v>592199999.99999988</v>
      </c>
      <c r="AK55" s="75">
        <f>AK39*'КАЛЬКУЛЯЦИЯ ПАРТИИ ТОВАРОВ'!$F$4</f>
        <v>680400000</v>
      </c>
      <c r="AL55" s="75">
        <f>AL39*'КАЛЬКУЛЯЦИЯ ПАРТИИ ТОВАРОВ'!$F$4</f>
        <v>781199999.99999976</v>
      </c>
      <c r="AM55" s="75">
        <f>AM39*'КАЛЬКУЛЯЦИЯ ПАРТИИ ТОВАРОВ'!$F$4</f>
        <v>869400000</v>
      </c>
      <c r="AN55" s="75">
        <f>AN39*'КАЛЬКУЛЯЦИЯ ПАРТИИ ТОВАРОВ'!$F$4</f>
        <v>995399999.99999988</v>
      </c>
      <c r="AO55" s="75">
        <f>AO39*'КАЛЬКУЛЯЦИЯ ПАРТИИ ТОВАРОВ'!$F$4</f>
        <v>1146599999.9999998</v>
      </c>
    </row>
    <row r="56" spans="1:41" ht="17.25" outlineLevel="3" x14ac:dyDescent="0.3">
      <c r="A56" s="74" t="s">
        <v>74</v>
      </c>
      <c r="B56" s="83">
        <f t="shared" si="76"/>
        <v>0.5</v>
      </c>
      <c r="C56" s="67">
        <f t="shared" si="77"/>
        <v>743400000</v>
      </c>
      <c r="D56" s="75">
        <f t="shared" ref="D56:G56" si="83">D49</f>
        <v>0</v>
      </c>
      <c r="E56" s="75">
        <f t="shared" si="83"/>
        <v>0</v>
      </c>
      <c r="F56" s="75">
        <f t="shared" si="83"/>
        <v>0</v>
      </c>
      <c r="G56" s="75">
        <f t="shared" si="83"/>
        <v>0</v>
      </c>
      <c r="H56" s="75">
        <f>H40*'КАЛЬКУЛЯЦИЯ ПАРТИИ ТОВАРОВ'!$F$4</f>
        <v>25200000</v>
      </c>
      <c r="I56" s="75">
        <f>I40*'КАЛЬКУЛЯЦИЯ ПАРТИИ ТОВАРОВ'!$F$4</f>
        <v>62999999.999999993</v>
      </c>
      <c r="J56" s="75">
        <f>J40*'КАЛЬКУЛЯЦИЯ ПАРТИИ ТОВАРОВ'!$F$4</f>
        <v>88199999.999999985</v>
      </c>
      <c r="K56" s="75">
        <f>K40*'КАЛЬКУЛЯЦИЯ ПАРТИИ ТОВАРОВ'!$F$4</f>
        <v>100800000</v>
      </c>
      <c r="L56" s="75">
        <f>L40*'КАЛЬКУЛЯЦИЯ ПАРТИИ ТОВАРОВ'!$F$4</f>
        <v>88199999.999999985</v>
      </c>
      <c r="M56" s="75">
        <f>M40*'КАЛЬКУЛЯЦИЯ ПАРТИИ ТОВАРОВ'!$F$4</f>
        <v>125999999.99999999</v>
      </c>
      <c r="N56" s="75">
        <f>N40*'КАЛЬКУЛЯЦИЯ ПАРТИИ ТОВАРОВ'!$F$4</f>
        <v>125999999.99999999</v>
      </c>
      <c r="O56" s="75">
        <f>O40*'КАЛЬКУЛЯЦИЯ ПАРТИИ ТОВАРОВ'!$F$4</f>
        <v>125999999.99999999</v>
      </c>
      <c r="P56" s="67">
        <f t="shared" si="74"/>
        <v>2280600000</v>
      </c>
      <c r="Q56" s="75">
        <f>Q40*'КАЛЬКУЛЯЦИЯ ПАРТИИ ТОВАРОВ'!$F$4</f>
        <v>125999999.99999999</v>
      </c>
      <c r="R56" s="75">
        <f>R40*'КАЛЬКУЛЯЦИЯ ПАРТИИ ТОВАРОВ'!$F$4</f>
        <v>151200000</v>
      </c>
      <c r="S56" s="75">
        <f>S40*'КАЛЬКУЛЯЦИЯ ПАРТИИ ТОВАРОВ'!$F$4</f>
        <v>188999999.99999997</v>
      </c>
      <c r="T56" s="75">
        <f>T40*'КАЛЬКУЛЯЦИЯ ПАРТИИ ТОВАРОВ'!$F$4</f>
        <v>188999999.99999997</v>
      </c>
      <c r="U56" s="75">
        <f>U40*'КАЛЬКУЛЯЦИЯ ПАРТИИ ТОВАРОВ'!$F$4</f>
        <v>188999999.99999997</v>
      </c>
      <c r="V56" s="75">
        <f>V40*'КАЛЬКУЛЯЦИЯ ПАРТИИ ТОВАРОВ'!$F$4</f>
        <v>188999999.99999997</v>
      </c>
      <c r="W56" s="75">
        <f>W40*'КАЛЬКУЛЯЦИЯ ПАРТИИ ТОВАРОВ'!$F$4</f>
        <v>163799999.99999997</v>
      </c>
      <c r="X56" s="75">
        <f>X40*'КАЛЬКУЛЯЦИЯ ПАРТИИ ТОВАРОВ'!$F$4</f>
        <v>151200000</v>
      </c>
      <c r="Y56" s="75">
        <f>Y40*'КАЛЬКУЛЯЦИЯ ПАРТИИ ТОВАРОВ'!$F$4</f>
        <v>188999999.99999997</v>
      </c>
      <c r="Z56" s="75">
        <f>Z40*'КАЛЬКУЛЯЦИЯ ПАРТИИ ТОВАРОВ'!$F$4</f>
        <v>214199999.99999997</v>
      </c>
      <c r="AA56" s="75">
        <f>AA40*'КАЛЬКУЛЯЦИЯ ПАРТИИ ТОВАРОВ'!$F$4</f>
        <v>251999999.99999997</v>
      </c>
      <c r="AB56" s="75">
        <f>AB40*'КАЛЬКУЛЯЦИЯ ПАРТИИ ТОВАРОВ'!$F$4</f>
        <v>277200000</v>
      </c>
      <c r="AC56" s="67">
        <f t="shared" si="80"/>
        <v>7371000000</v>
      </c>
      <c r="AD56" s="75">
        <f>AD40*'КАЛЬКУЛЯЦИЯ ПАРТИИ ТОВАРОВ'!$F$4</f>
        <v>314999999.99999994</v>
      </c>
      <c r="AE56" s="75">
        <f>AE40*'КАЛЬКУЛЯЦИЯ ПАРТИИ ТОВАРОВ'!$F$4</f>
        <v>314999999.99999994</v>
      </c>
      <c r="AF56" s="75">
        <f>AF40*'КАЛЬКУЛЯЦИЯ ПАРТИИ ТОВАРОВ'!$F$4</f>
        <v>340200000</v>
      </c>
      <c r="AG56" s="75">
        <f>AG40*'КАЛЬКУЛЯЦИЯ ПАРТИИ ТОВАРОВ'!$F$4</f>
        <v>403200000</v>
      </c>
      <c r="AH56" s="75">
        <f>AH40*'КАЛЬКУЛЯЦИЯ ПАРТИИ ТОВАРОВ'!$F$4</f>
        <v>440999999.99999994</v>
      </c>
      <c r="AI56" s="75">
        <f>AI40*'КАЛЬКУЛЯЦИЯ ПАРТИИ ТОВАРОВ'!$F$4</f>
        <v>491400000</v>
      </c>
      <c r="AJ56" s="75">
        <f>AJ40*'КАЛЬКУЛЯЦИЯ ПАРТИИ ТОВАРОВ'!$F$4</f>
        <v>592199999.99999988</v>
      </c>
      <c r="AK56" s="75">
        <f>AK40*'КАЛЬКУЛЯЦИЯ ПАРТИИ ТОВАРОВ'!$F$4</f>
        <v>680400000</v>
      </c>
      <c r="AL56" s="75">
        <f>AL40*'КАЛЬКУЛЯЦИЯ ПАРТИИ ТОВАРОВ'!$F$4</f>
        <v>781199999.99999976</v>
      </c>
      <c r="AM56" s="75">
        <f>AM40*'КАЛЬКУЛЯЦИЯ ПАРТИИ ТОВАРОВ'!$F$4</f>
        <v>869400000</v>
      </c>
      <c r="AN56" s="75">
        <f>AN40*'КАЛЬКУЛЯЦИЯ ПАРТИИ ТОВАРОВ'!$F$4</f>
        <v>995399999.99999988</v>
      </c>
      <c r="AO56" s="75">
        <f>AO40*'КАЛЬКУЛЯЦИЯ ПАРТИИ ТОВАРОВ'!$F$4</f>
        <v>1146599999.9999998</v>
      </c>
    </row>
    <row r="57" spans="1:41" ht="17.25" outlineLevel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17.25" customHeight="1" x14ac:dyDescent="0.15">
      <c r="A58" s="19"/>
      <c r="B58" s="19"/>
      <c r="C58" s="19"/>
      <c r="D58" s="19"/>
      <c r="E58" s="7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7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70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ht="17.25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ht="17.25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ht="17.25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ht="17.25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ht="17.25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ht="17.25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ht="17.25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ht="17.25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ht="17.25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ht="17.25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ht="17.25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ht="17.25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ht="17.25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ht="17.25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ht="17.25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ht="17.25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ht="17.25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ht="17.25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ht="17.25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ht="17.25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ht="17.25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ht="17.25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ht="17.25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ht="17.25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ht="17.25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1:41" ht="17.25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ht="17.25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1:41" ht="17.25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ht="17.25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ht="17.25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ht="17.25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ht="17.25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ht="17.25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ht="17.25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ht="17.25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ht="17.25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ht="17.25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ht="17.25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ht="17.25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ht="17.25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ht="17.25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ht="17.25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ht="17.25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ht="17.25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ht="17.25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ht="17.25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ht="17.25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ht="17.25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ht="17.25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ht="17.25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ht="17.25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ht="17.25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ht="17.25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ht="17.25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ht="17.25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ht="17.25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ht="17.25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ht="17.25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ht="17.25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ht="17.25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ht="17.25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ht="17.25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ht="17.25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ht="17.25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ht="17.25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ht="17.25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ht="17.25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ht="17.25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1:41" ht="17.25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ht="17.25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ht="17.25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ht="17.25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ht="17.25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ht="17.25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ht="17.25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ht="17.25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ht="17.25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ht="17.25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ht="17.25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ht="17.25" x14ac:dyDescent="0.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ht="17.25" x14ac:dyDescent="0.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1:41" ht="17.25" x14ac:dyDescent="0.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ht="17.25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ht="17.25" x14ac:dyDescent="0.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1:41" ht="17.25" x14ac:dyDescent="0.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1:41" ht="17.25" x14ac:dyDescent="0.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ht="17.25" x14ac:dyDescent="0.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1:41" ht="17.25" x14ac:dyDescent="0.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ht="17.25" x14ac:dyDescent="0.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</row>
    <row r="148" spans="1:41" ht="17.25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</row>
    <row r="149" spans="1:41" ht="17.25" x14ac:dyDescent="0.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1:41" ht="17.25" x14ac:dyDescent="0.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1:41" ht="17.25" x14ac:dyDescent="0.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</row>
    <row r="152" spans="1:41" ht="17.25" x14ac:dyDescent="0.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</row>
    <row r="153" spans="1:41" ht="17.25" x14ac:dyDescent="0.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</row>
    <row r="154" spans="1:41" ht="17.25" x14ac:dyDescent="0.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</row>
    <row r="155" spans="1:41" ht="17.25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ht="17.25" x14ac:dyDescent="0.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1:41" ht="17.25" x14ac:dyDescent="0.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</row>
    <row r="158" spans="1:41" ht="17.25" x14ac:dyDescent="0.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1:41" ht="17.25" x14ac:dyDescent="0.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1:41" ht="17.25" x14ac:dyDescent="0.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</row>
    <row r="161" spans="1:41" ht="17.25" x14ac:dyDescent="0.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</row>
    <row r="162" spans="1:41" ht="17.25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1:41" ht="17.25" x14ac:dyDescent="0.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1:41" ht="17.25" x14ac:dyDescent="0.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</row>
    <row r="165" spans="1:41" ht="17.25" x14ac:dyDescent="0.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</row>
    <row r="166" spans="1:41" ht="17.25" x14ac:dyDescent="0.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</row>
    <row r="167" spans="1:41" ht="17.25" x14ac:dyDescent="0.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1:41" ht="17.25" x14ac:dyDescent="0.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</row>
    <row r="169" spans="1:41" ht="17.25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</row>
    <row r="170" spans="1:41" ht="17.25" x14ac:dyDescent="0.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</row>
    <row r="171" spans="1:41" ht="17.25" x14ac:dyDescent="0.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1:41" ht="17.25" x14ac:dyDescent="0.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41" ht="17.25" x14ac:dyDescent="0.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1:41" ht="17.25" x14ac:dyDescent="0.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ht="17.25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ht="17.25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41" ht="17.25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1:41" ht="17.25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1:41" ht="17.25" x14ac:dyDescent="0.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1:41" ht="17.25" x14ac:dyDescent="0.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</row>
    <row r="181" spans="1:41" ht="17.25" x14ac:dyDescent="0.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1:41" ht="17.25" x14ac:dyDescent="0.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1:41" ht="17.25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</row>
    <row r="184" spans="1:41" ht="17.25" x14ac:dyDescent="0.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</row>
    <row r="185" spans="1:41" ht="17.25" x14ac:dyDescent="0.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</row>
    <row r="186" spans="1:41" ht="17.25" x14ac:dyDescent="0.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1:41" ht="17.25" x14ac:dyDescent="0.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</row>
    <row r="188" spans="1:41" ht="17.25" x14ac:dyDescent="0.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1:41" ht="17.25" x14ac:dyDescent="0.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1:41" ht="17.25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</row>
    <row r="191" spans="1:41" ht="17.25" x14ac:dyDescent="0.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</row>
    <row r="192" spans="1:41" ht="17.25" x14ac:dyDescent="0.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</row>
    <row r="193" spans="1:41" ht="17.25" x14ac:dyDescent="0.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</row>
    <row r="194" spans="1:41" ht="17.25" x14ac:dyDescent="0.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ht="17.25" x14ac:dyDescent="0.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</row>
    <row r="196" spans="1:41" ht="17.25" x14ac:dyDescent="0.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</row>
    <row r="197" spans="1:41" ht="17.25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</row>
    <row r="198" spans="1:41" ht="17.25" x14ac:dyDescent="0.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</row>
    <row r="199" spans="1:41" ht="17.25" x14ac:dyDescent="0.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</row>
    <row r="200" spans="1:41" ht="17.25" x14ac:dyDescent="0.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1:41" ht="17.25" x14ac:dyDescent="0.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1:41" ht="17.25" x14ac:dyDescent="0.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ht="17.25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1:41" ht="17.25" x14ac:dyDescent="0.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</row>
    <row r="205" spans="1:41" ht="17.25" x14ac:dyDescent="0.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1:41" ht="17.25" x14ac:dyDescent="0.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ht="17.25" x14ac:dyDescent="0.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</row>
    <row r="208" spans="1:41" ht="17.25" x14ac:dyDescent="0.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1:41" ht="17.25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</row>
    <row r="210" spans="1:41" ht="17.25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</row>
    <row r="211" spans="1:41" ht="17.25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</row>
    <row r="212" spans="1:41" ht="17.25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1:41" ht="17.25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</row>
    <row r="214" spans="1:41" ht="17.25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ht="17.25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</row>
    <row r="216" spans="1:41" ht="17.25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1:41" ht="17.25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</row>
    <row r="218" spans="1:41" ht="17.25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1:41" ht="17.25" x14ac:dyDescent="0.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</row>
    <row r="220" spans="1:41" ht="17.25" x14ac:dyDescent="0.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</row>
    <row r="221" spans="1:41" ht="17.25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1:41" ht="17.25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</row>
    <row r="223" spans="1:41" ht="17.25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</row>
    <row r="224" spans="1:41" ht="17.25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1:41" ht="17.25" x14ac:dyDescent="0.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1:41" ht="17.25" x14ac:dyDescent="0.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1:41" ht="17.25" x14ac:dyDescent="0.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1:41" ht="17.25" x14ac:dyDescent="0.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</row>
    <row r="229" spans="1:41" ht="17.25" x14ac:dyDescent="0.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1:41" ht="17.25" x14ac:dyDescent="0.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1:41" ht="17.25" x14ac:dyDescent="0.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1:41" ht="17.25" x14ac:dyDescent="0.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1:41" ht="17.25" x14ac:dyDescent="0.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1:41" ht="17.25" x14ac:dyDescent="0.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</row>
    <row r="235" spans="1:41" ht="17.25" x14ac:dyDescent="0.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</row>
    <row r="236" spans="1:41" ht="17.25" x14ac:dyDescent="0.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</row>
    <row r="237" spans="1:41" ht="17.25" x14ac:dyDescent="0.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</row>
    <row r="238" spans="1:41" ht="17.25" x14ac:dyDescent="0.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</row>
    <row r="239" spans="1:41" ht="17.25" x14ac:dyDescent="0.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</row>
    <row r="240" spans="1:41" ht="17.25" x14ac:dyDescent="0.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</row>
    <row r="241" spans="1:41" ht="17.25" x14ac:dyDescent="0.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</row>
    <row r="242" spans="1:41" ht="17.25" x14ac:dyDescent="0.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1:41" ht="17.25" x14ac:dyDescent="0.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</row>
    <row r="244" spans="1:41" ht="17.25" x14ac:dyDescent="0.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1:41" ht="17.25" x14ac:dyDescent="0.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</row>
    <row r="246" spans="1:41" ht="17.25" x14ac:dyDescent="0.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</row>
    <row r="247" spans="1:41" ht="17.25" x14ac:dyDescent="0.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</row>
    <row r="248" spans="1:41" ht="17.25" x14ac:dyDescent="0.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1:41" ht="17.25" x14ac:dyDescent="0.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</row>
    <row r="250" spans="1:41" ht="17.25" x14ac:dyDescent="0.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</row>
    <row r="251" spans="1:41" ht="17.25" x14ac:dyDescent="0.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</row>
    <row r="252" spans="1:41" ht="17.25" x14ac:dyDescent="0.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</row>
    <row r="253" spans="1:41" ht="17.25" x14ac:dyDescent="0.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</row>
    <row r="254" spans="1:41" ht="17.25" x14ac:dyDescent="0.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</row>
    <row r="255" spans="1:41" ht="17.25" x14ac:dyDescent="0.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</row>
    <row r="256" spans="1:41" ht="17.25" x14ac:dyDescent="0.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1:41" ht="17.25" x14ac:dyDescent="0.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</row>
    <row r="258" spans="1:41" ht="17.25" x14ac:dyDescent="0.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</row>
    <row r="259" spans="1:41" ht="17.25" x14ac:dyDescent="0.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1:41" ht="17.25" x14ac:dyDescent="0.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</row>
    <row r="261" spans="1:41" ht="17.25" x14ac:dyDescent="0.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</row>
    <row r="262" spans="1:41" ht="17.25" x14ac:dyDescent="0.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</row>
    <row r="263" spans="1:41" ht="17.25" x14ac:dyDescent="0.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</row>
    <row r="264" spans="1:41" ht="17.25" x14ac:dyDescent="0.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1:41" ht="17.25" x14ac:dyDescent="0.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</row>
    <row r="266" spans="1:41" ht="17.25" x14ac:dyDescent="0.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1:41" ht="17.25" x14ac:dyDescent="0.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</row>
    <row r="268" spans="1:41" ht="17.25" x14ac:dyDescent="0.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1:41" ht="17.25" x14ac:dyDescent="0.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</row>
    <row r="270" spans="1:41" ht="17.25" x14ac:dyDescent="0.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</row>
    <row r="271" spans="1:41" ht="17.25" x14ac:dyDescent="0.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</row>
    <row r="272" spans="1:41" ht="17.25" x14ac:dyDescent="0.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</row>
    <row r="273" spans="1:41" ht="17.25" x14ac:dyDescent="0.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</row>
    <row r="274" spans="1:41" ht="17.25" x14ac:dyDescent="0.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</row>
    <row r="275" spans="1:41" ht="17.25" x14ac:dyDescent="0.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1:41" ht="17.25" x14ac:dyDescent="0.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1:41" ht="17.25" x14ac:dyDescent="0.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</row>
    <row r="278" spans="1:41" ht="17.25" x14ac:dyDescent="0.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</row>
    <row r="279" spans="1:41" ht="17.25" x14ac:dyDescent="0.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</row>
    <row r="280" spans="1:41" ht="17.25" x14ac:dyDescent="0.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</row>
    <row r="281" spans="1:41" ht="17.25" x14ac:dyDescent="0.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1:41" ht="17.25" x14ac:dyDescent="0.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</row>
    <row r="283" spans="1:41" ht="17.25" x14ac:dyDescent="0.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</row>
    <row r="284" spans="1:41" ht="17.25" x14ac:dyDescent="0.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</row>
    <row r="285" spans="1:41" ht="17.25" x14ac:dyDescent="0.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</row>
    <row r="286" spans="1:41" ht="17.25" x14ac:dyDescent="0.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</row>
    <row r="287" spans="1:41" ht="17.25" x14ac:dyDescent="0.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1:41" ht="17.25" x14ac:dyDescent="0.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</row>
    <row r="289" spans="1:41" ht="17.25" x14ac:dyDescent="0.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</row>
    <row r="290" spans="1:41" ht="17.25" x14ac:dyDescent="0.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</row>
    <row r="291" spans="1:41" ht="17.25" x14ac:dyDescent="0.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</row>
    <row r="292" spans="1:41" ht="17.25" x14ac:dyDescent="0.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</row>
    <row r="293" spans="1:41" ht="17.25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1:41" ht="17.25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</row>
    <row r="295" spans="1:41" ht="17.25" x14ac:dyDescent="0.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</row>
    <row r="296" spans="1:41" ht="17.25" x14ac:dyDescent="0.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</row>
    <row r="297" spans="1:41" ht="17.25" x14ac:dyDescent="0.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</row>
    <row r="298" spans="1:41" ht="17.25" x14ac:dyDescent="0.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  <row r="299" spans="1:41" ht="17.25" x14ac:dyDescent="0.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</row>
    <row r="300" spans="1:41" ht="17.25" x14ac:dyDescent="0.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</row>
    <row r="301" spans="1:41" ht="17.25" x14ac:dyDescent="0.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</row>
    <row r="302" spans="1:41" ht="17.25" x14ac:dyDescent="0.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</row>
    <row r="303" spans="1:41" ht="17.25" x14ac:dyDescent="0.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</row>
    <row r="304" spans="1:41" ht="17.25" x14ac:dyDescent="0.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</row>
    <row r="305" spans="1:41" ht="17.25" x14ac:dyDescent="0.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</row>
    <row r="306" spans="1:41" ht="17.25" x14ac:dyDescent="0.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</row>
    <row r="307" spans="1:41" ht="17.25" x14ac:dyDescent="0.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</row>
    <row r="308" spans="1:41" ht="17.25" x14ac:dyDescent="0.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</row>
    <row r="309" spans="1:41" ht="17.25" x14ac:dyDescent="0.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</row>
    <row r="310" spans="1:41" ht="17.25" x14ac:dyDescent="0.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</row>
    <row r="311" spans="1:41" ht="17.25" x14ac:dyDescent="0.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</row>
    <row r="312" spans="1:41" ht="17.25" x14ac:dyDescent="0.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</row>
    <row r="313" spans="1:41" ht="17.25" x14ac:dyDescent="0.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</row>
    <row r="314" spans="1:41" ht="17.25" x14ac:dyDescent="0.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</row>
    <row r="315" spans="1:41" ht="17.25" x14ac:dyDescent="0.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</row>
    <row r="316" spans="1:41" ht="17.25" x14ac:dyDescent="0.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</row>
    <row r="317" spans="1:41" ht="17.25" x14ac:dyDescent="0.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</row>
    <row r="318" spans="1:41" ht="17.25" x14ac:dyDescent="0.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</row>
    <row r="319" spans="1:41" ht="17.25" x14ac:dyDescent="0.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</row>
    <row r="320" spans="1:41" ht="17.25" x14ac:dyDescent="0.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</row>
    <row r="321" spans="1:41" ht="17.25" x14ac:dyDescent="0.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</row>
    <row r="322" spans="1:41" ht="17.25" x14ac:dyDescent="0.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</row>
    <row r="323" spans="1:41" ht="17.25" x14ac:dyDescent="0.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</row>
    <row r="324" spans="1:41" ht="17.25" x14ac:dyDescent="0.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</row>
    <row r="325" spans="1:41" ht="17.25" x14ac:dyDescent="0.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</row>
    <row r="326" spans="1:41" ht="17.25" x14ac:dyDescent="0.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</row>
    <row r="327" spans="1:41" ht="17.25" x14ac:dyDescent="0.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</row>
    <row r="328" spans="1:41" ht="17.25" x14ac:dyDescent="0.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</row>
    <row r="329" spans="1:41" ht="17.25" x14ac:dyDescent="0.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</row>
    <row r="330" spans="1:41" ht="17.25" x14ac:dyDescent="0.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</row>
    <row r="331" spans="1:41" ht="17.25" x14ac:dyDescent="0.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</row>
    <row r="332" spans="1:41" ht="17.25" x14ac:dyDescent="0.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</row>
    <row r="333" spans="1:41" ht="17.25" x14ac:dyDescent="0.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</row>
    <row r="334" spans="1:41" ht="17.25" x14ac:dyDescent="0.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</row>
    <row r="335" spans="1:41" ht="17.25" x14ac:dyDescent="0.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</row>
    <row r="336" spans="1:41" ht="17.25" x14ac:dyDescent="0.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</row>
    <row r="337" spans="1:41" ht="17.25" x14ac:dyDescent="0.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</row>
    <row r="338" spans="1:41" ht="17.25" x14ac:dyDescent="0.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</row>
    <row r="339" spans="1:41" ht="17.25" x14ac:dyDescent="0.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</row>
    <row r="340" spans="1:41" ht="17.25" x14ac:dyDescent="0.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</row>
    <row r="341" spans="1:41" ht="17.25" x14ac:dyDescent="0.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</row>
    <row r="342" spans="1:41" ht="17.25" x14ac:dyDescent="0.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</row>
    <row r="343" spans="1:41" ht="17.25" x14ac:dyDescent="0.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</row>
    <row r="344" spans="1:41" ht="17.25" x14ac:dyDescent="0.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</row>
    <row r="345" spans="1:41" ht="17.25" x14ac:dyDescent="0.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</row>
    <row r="346" spans="1:41" ht="17.25" x14ac:dyDescent="0.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</row>
    <row r="347" spans="1:41" ht="17.25" x14ac:dyDescent="0.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</row>
    <row r="348" spans="1:41" ht="17.25" x14ac:dyDescent="0.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</row>
    <row r="349" spans="1:41" ht="17.25" x14ac:dyDescent="0.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</row>
    <row r="350" spans="1:41" ht="17.25" x14ac:dyDescent="0.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</row>
    <row r="351" spans="1:41" ht="17.25" x14ac:dyDescent="0.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</row>
    <row r="352" spans="1:41" ht="17.25" x14ac:dyDescent="0.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</row>
    <row r="353" spans="1:41" ht="17.25" x14ac:dyDescent="0.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</row>
    <row r="354" spans="1:41" ht="17.25" x14ac:dyDescent="0.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</row>
    <row r="355" spans="1:41" ht="17.25" x14ac:dyDescent="0.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</row>
    <row r="356" spans="1:41" ht="17.25" x14ac:dyDescent="0.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</row>
    <row r="357" spans="1:41" ht="17.25" x14ac:dyDescent="0.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</row>
    <row r="358" spans="1:41" ht="17.25" x14ac:dyDescent="0.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</row>
    <row r="359" spans="1:41" ht="17.25" x14ac:dyDescent="0.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</row>
    <row r="360" spans="1:41" ht="17.25" x14ac:dyDescent="0.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</row>
    <row r="361" spans="1:41" ht="17.25" x14ac:dyDescent="0.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</row>
    <row r="362" spans="1:41" ht="17.25" x14ac:dyDescent="0.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</row>
    <row r="363" spans="1:41" ht="17.25" x14ac:dyDescent="0.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</row>
    <row r="364" spans="1:41" ht="17.25" x14ac:dyDescent="0.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</row>
    <row r="365" spans="1:41" ht="17.25" x14ac:dyDescent="0.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</row>
    <row r="366" spans="1:41" ht="17.25" x14ac:dyDescent="0.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</row>
    <row r="367" spans="1:41" ht="17.25" x14ac:dyDescent="0.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</row>
    <row r="368" spans="1:41" ht="17.25" x14ac:dyDescent="0.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</row>
    <row r="369" spans="1:41" ht="17.25" x14ac:dyDescent="0.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</row>
    <row r="370" spans="1:41" ht="17.25" x14ac:dyDescent="0.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</row>
    <row r="371" spans="1:41" ht="17.25" x14ac:dyDescent="0.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</row>
    <row r="372" spans="1:41" ht="17.25" x14ac:dyDescent="0.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</row>
    <row r="373" spans="1:41" ht="17.25" x14ac:dyDescent="0.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</row>
    <row r="374" spans="1:41" ht="17.25" x14ac:dyDescent="0.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</row>
    <row r="375" spans="1:41" ht="17.25" x14ac:dyDescent="0.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</row>
    <row r="376" spans="1:41" ht="17.25" x14ac:dyDescent="0.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</row>
    <row r="377" spans="1:41" ht="17.25" x14ac:dyDescent="0.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</row>
    <row r="378" spans="1:41" ht="17.25" x14ac:dyDescent="0.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</row>
    <row r="379" spans="1:41" ht="17.25" x14ac:dyDescent="0.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</row>
    <row r="380" spans="1:41" ht="17.25" x14ac:dyDescent="0.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</row>
    <row r="381" spans="1:41" ht="17.25" x14ac:dyDescent="0.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</row>
    <row r="382" spans="1:41" ht="17.25" x14ac:dyDescent="0.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</row>
    <row r="383" spans="1:41" ht="17.25" x14ac:dyDescent="0.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</row>
    <row r="384" spans="1:41" ht="17.25" x14ac:dyDescent="0.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</row>
    <row r="385" spans="1:41" ht="17.25" x14ac:dyDescent="0.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</row>
    <row r="386" spans="1:41" ht="17.25" x14ac:dyDescent="0.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</row>
    <row r="387" spans="1:41" ht="17.25" x14ac:dyDescent="0.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</row>
    <row r="388" spans="1:41" ht="17.25" x14ac:dyDescent="0.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</row>
    <row r="389" spans="1:41" ht="17.25" x14ac:dyDescent="0.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</row>
    <row r="390" spans="1:41" ht="17.25" x14ac:dyDescent="0.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</row>
    <row r="391" spans="1:41" ht="17.25" x14ac:dyDescent="0.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</row>
    <row r="392" spans="1:41" ht="17.25" x14ac:dyDescent="0.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</row>
    <row r="393" spans="1:41" ht="17.25" x14ac:dyDescent="0.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</row>
    <row r="394" spans="1:41" ht="17.25" x14ac:dyDescent="0.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</row>
    <row r="395" spans="1:41" ht="17.25" x14ac:dyDescent="0.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</row>
    <row r="396" spans="1:41" ht="17.25" x14ac:dyDescent="0.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</row>
    <row r="397" spans="1:41" ht="17.25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</row>
    <row r="398" spans="1:41" ht="17.25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</row>
    <row r="399" spans="1:41" ht="17.25" x14ac:dyDescent="0.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</row>
    <row r="400" spans="1:41" ht="17.25" x14ac:dyDescent="0.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</row>
    <row r="401" spans="1:41" ht="17.25" x14ac:dyDescent="0.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</row>
    <row r="402" spans="1:41" ht="17.25" x14ac:dyDescent="0.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</row>
    <row r="403" spans="1:41" ht="17.25" x14ac:dyDescent="0.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</row>
    <row r="404" spans="1:41" ht="17.25" x14ac:dyDescent="0.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</row>
    <row r="405" spans="1:41" ht="17.25" x14ac:dyDescent="0.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</row>
    <row r="406" spans="1:41" ht="17.25" x14ac:dyDescent="0.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</row>
    <row r="407" spans="1:41" ht="17.25" x14ac:dyDescent="0.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</row>
    <row r="408" spans="1:41" ht="17.25" x14ac:dyDescent="0.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</row>
    <row r="409" spans="1:41" ht="17.25" x14ac:dyDescent="0.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</row>
    <row r="410" spans="1:41" ht="17.25" x14ac:dyDescent="0.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</row>
    <row r="411" spans="1:41" ht="17.25" x14ac:dyDescent="0.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</row>
    <row r="412" spans="1:41" ht="17.25" x14ac:dyDescent="0.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</row>
    <row r="413" spans="1:41" ht="17.25" x14ac:dyDescent="0.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</row>
    <row r="414" spans="1:41" ht="17.25" x14ac:dyDescent="0.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</row>
    <row r="415" spans="1:41" ht="17.25" x14ac:dyDescent="0.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</row>
    <row r="416" spans="1:41" ht="17.25" x14ac:dyDescent="0.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</row>
    <row r="417" spans="1:41" ht="17.25" x14ac:dyDescent="0.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</row>
    <row r="418" spans="1:41" ht="17.25" x14ac:dyDescent="0.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</row>
    <row r="419" spans="1:41" ht="17.25" x14ac:dyDescent="0.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</row>
    <row r="420" spans="1:41" ht="17.25" x14ac:dyDescent="0.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</row>
    <row r="421" spans="1:41" ht="17.25" x14ac:dyDescent="0.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</row>
    <row r="422" spans="1:41" ht="17.25" x14ac:dyDescent="0.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</row>
    <row r="423" spans="1:41" ht="17.25" x14ac:dyDescent="0.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</row>
    <row r="424" spans="1:41" ht="17.25" x14ac:dyDescent="0.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</row>
    <row r="425" spans="1:41" ht="17.25" x14ac:dyDescent="0.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</row>
    <row r="426" spans="1:41" ht="17.25" x14ac:dyDescent="0.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</row>
    <row r="427" spans="1:41" ht="17.25" x14ac:dyDescent="0.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</row>
    <row r="428" spans="1:41" ht="17.25" x14ac:dyDescent="0.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</row>
    <row r="429" spans="1:41" ht="17.25" x14ac:dyDescent="0.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</row>
    <row r="430" spans="1:41" ht="17.25" x14ac:dyDescent="0.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</row>
    <row r="431" spans="1:41" ht="17.25" x14ac:dyDescent="0.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</row>
    <row r="432" spans="1:41" ht="17.25" x14ac:dyDescent="0.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</row>
    <row r="433" spans="1:41" ht="17.25" x14ac:dyDescent="0.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</row>
    <row r="434" spans="1:41" ht="17.25" x14ac:dyDescent="0.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</row>
    <row r="435" spans="1:41" ht="17.25" x14ac:dyDescent="0.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</row>
    <row r="436" spans="1:41" ht="17.25" x14ac:dyDescent="0.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</row>
    <row r="437" spans="1:41" ht="17.25" x14ac:dyDescent="0.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</row>
    <row r="438" spans="1:41" ht="17.25" x14ac:dyDescent="0.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</row>
    <row r="439" spans="1:41" ht="17.25" x14ac:dyDescent="0.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</row>
    <row r="440" spans="1:41" ht="17.25" x14ac:dyDescent="0.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</row>
    <row r="441" spans="1:41" ht="17.25" x14ac:dyDescent="0.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</row>
    <row r="442" spans="1:41" ht="17.25" x14ac:dyDescent="0.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</row>
    <row r="443" spans="1:41" ht="17.25" x14ac:dyDescent="0.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</row>
    <row r="444" spans="1:41" ht="17.25" x14ac:dyDescent="0.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</row>
    <row r="445" spans="1:41" ht="17.25" x14ac:dyDescent="0.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</row>
    <row r="446" spans="1:41" ht="17.25" x14ac:dyDescent="0.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</row>
    <row r="447" spans="1:41" ht="17.25" x14ac:dyDescent="0.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</row>
    <row r="448" spans="1:41" ht="17.25" x14ac:dyDescent="0.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</row>
    <row r="449" spans="1:41" ht="17.25" x14ac:dyDescent="0.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</row>
    <row r="450" spans="1:41" ht="17.25" x14ac:dyDescent="0.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</row>
    <row r="451" spans="1:41" ht="17.25" x14ac:dyDescent="0.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</row>
    <row r="452" spans="1:41" ht="17.25" x14ac:dyDescent="0.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</row>
    <row r="453" spans="1:41" ht="17.25" x14ac:dyDescent="0.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</row>
    <row r="454" spans="1:41" ht="17.25" x14ac:dyDescent="0.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</row>
    <row r="455" spans="1:41" ht="17.25" x14ac:dyDescent="0.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</row>
    <row r="456" spans="1:41" ht="17.25" x14ac:dyDescent="0.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</row>
    <row r="457" spans="1:41" ht="17.25" x14ac:dyDescent="0.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</row>
    <row r="458" spans="1:41" ht="17.25" x14ac:dyDescent="0.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</row>
    <row r="459" spans="1:41" ht="17.25" x14ac:dyDescent="0.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</row>
    <row r="460" spans="1:41" ht="17.25" x14ac:dyDescent="0.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</row>
    <row r="461" spans="1:41" ht="17.25" x14ac:dyDescent="0.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</row>
    <row r="462" spans="1:41" ht="17.25" x14ac:dyDescent="0.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</row>
    <row r="463" spans="1:41" ht="17.25" x14ac:dyDescent="0.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</row>
    <row r="464" spans="1:41" ht="17.25" x14ac:dyDescent="0.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</row>
    <row r="465" spans="1:41" ht="17.25" x14ac:dyDescent="0.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</row>
    <row r="466" spans="1:41" ht="17.25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</row>
    <row r="467" spans="1:41" ht="17.25" x14ac:dyDescent="0.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</row>
    <row r="468" spans="1:41" ht="17.25" x14ac:dyDescent="0.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</row>
    <row r="469" spans="1:41" ht="17.25" x14ac:dyDescent="0.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</row>
    <row r="470" spans="1:41" ht="17.25" x14ac:dyDescent="0.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</row>
    <row r="471" spans="1:41" ht="17.25" x14ac:dyDescent="0.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</row>
    <row r="472" spans="1:41" ht="17.25" x14ac:dyDescent="0.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</row>
    <row r="473" spans="1:41" ht="17.25" x14ac:dyDescent="0.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</row>
    <row r="474" spans="1:41" ht="17.25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</row>
    <row r="475" spans="1:41" ht="17.25" x14ac:dyDescent="0.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</row>
    <row r="476" spans="1:41" ht="17.25" x14ac:dyDescent="0.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</row>
    <row r="477" spans="1:41" ht="17.25" x14ac:dyDescent="0.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</row>
    <row r="478" spans="1:41" ht="17.25" x14ac:dyDescent="0.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</row>
    <row r="479" spans="1:41" ht="17.25" x14ac:dyDescent="0.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</row>
    <row r="480" spans="1:41" ht="17.25" x14ac:dyDescent="0.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</row>
    <row r="481" spans="1:41" ht="17.25" x14ac:dyDescent="0.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</row>
    <row r="482" spans="1:41" ht="17.25" x14ac:dyDescent="0.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</row>
    <row r="483" spans="1:41" ht="17.25" x14ac:dyDescent="0.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</row>
    <row r="484" spans="1:41" ht="17.25" x14ac:dyDescent="0.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</row>
    <row r="485" spans="1:41" ht="17.25" x14ac:dyDescent="0.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</row>
    <row r="486" spans="1:41" ht="17.25" x14ac:dyDescent="0.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</row>
    <row r="487" spans="1:41" ht="17.25" x14ac:dyDescent="0.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</row>
    <row r="488" spans="1:41" ht="17.25" x14ac:dyDescent="0.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</row>
    <row r="489" spans="1:41" ht="17.25" x14ac:dyDescent="0.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</row>
    <row r="490" spans="1:41" ht="17.25" x14ac:dyDescent="0.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</row>
    <row r="491" spans="1:41" ht="17.25" x14ac:dyDescent="0.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</row>
    <row r="492" spans="1:41" ht="17.25" x14ac:dyDescent="0.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</row>
    <row r="493" spans="1:41" ht="17.25" x14ac:dyDescent="0.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</row>
    <row r="494" spans="1:41" ht="17.25" x14ac:dyDescent="0.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</row>
    <row r="495" spans="1:41" ht="17.25" x14ac:dyDescent="0.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</row>
    <row r="496" spans="1:41" ht="17.25" x14ac:dyDescent="0.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</row>
    <row r="497" spans="1:41" ht="17.25" x14ac:dyDescent="0.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</row>
    <row r="498" spans="1:41" ht="17.25" x14ac:dyDescent="0.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</row>
    <row r="499" spans="1:41" ht="17.25" x14ac:dyDescent="0.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</row>
    <row r="500" spans="1:41" ht="17.25" x14ac:dyDescent="0.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</row>
    <row r="501" spans="1:41" ht="17.25" x14ac:dyDescent="0.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</row>
    <row r="502" spans="1:41" ht="17.25" x14ac:dyDescent="0.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</row>
    <row r="503" spans="1:41" ht="17.25" x14ac:dyDescent="0.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</row>
    <row r="504" spans="1:41" ht="17.25" x14ac:dyDescent="0.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</row>
    <row r="505" spans="1:41" ht="17.25" x14ac:dyDescent="0.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</row>
    <row r="506" spans="1:41" ht="17.25" x14ac:dyDescent="0.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</row>
    <row r="507" spans="1:41" ht="17.25" x14ac:dyDescent="0.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</row>
    <row r="508" spans="1:41" ht="17.25" x14ac:dyDescent="0.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</row>
    <row r="509" spans="1:41" ht="17.25" x14ac:dyDescent="0.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</row>
    <row r="510" spans="1:41" ht="17.25" x14ac:dyDescent="0.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</row>
    <row r="511" spans="1:41" ht="17.25" x14ac:dyDescent="0.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</row>
    <row r="512" spans="1:41" ht="17.25" x14ac:dyDescent="0.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</row>
    <row r="513" spans="1:41" ht="17.25" x14ac:dyDescent="0.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</row>
    <row r="514" spans="1:41" ht="17.25" x14ac:dyDescent="0.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</row>
    <row r="515" spans="1:41" ht="17.25" x14ac:dyDescent="0.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</row>
    <row r="516" spans="1:41" ht="17.25" x14ac:dyDescent="0.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</row>
    <row r="517" spans="1:41" ht="17.25" x14ac:dyDescent="0.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</row>
    <row r="518" spans="1:41" ht="17.25" x14ac:dyDescent="0.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</row>
    <row r="519" spans="1:41" ht="17.25" x14ac:dyDescent="0.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</row>
    <row r="520" spans="1:41" ht="17.25" x14ac:dyDescent="0.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</row>
    <row r="521" spans="1:41" ht="17.25" x14ac:dyDescent="0.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</row>
    <row r="522" spans="1:41" ht="17.25" x14ac:dyDescent="0.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</row>
    <row r="523" spans="1:41" ht="17.25" x14ac:dyDescent="0.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</row>
    <row r="524" spans="1:41" ht="17.25" x14ac:dyDescent="0.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</row>
    <row r="525" spans="1:41" ht="17.25" x14ac:dyDescent="0.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</row>
    <row r="526" spans="1:41" ht="17.25" x14ac:dyDescent="0.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</row>
    <row r="527" spans="1:41" ht="17.25" x14ac:dyDescent="0.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</row>
    <row r="528" spans="1:41" ht="17.25" x14ac:dyDescent="0.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</row>
    <row r="529" spans="1:41" ht="17.25" x14ac:dyDescent="0.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</row>
    <row r="530" spans="1:41" ht="17.25" x14ac:dyDescent="0.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</row>
    <row r="531" spans="1:41" ht="17.25" x14ac:dyDescent="0.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</row>
    <row r="532" spans="1:41" ht="17.25" x14ac:dyDescent="0.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</row>
    <row r="533" spans="1:41" ht="17.25" x14ac:dyDescent="0.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</row>
    <row r="534" spans="1:41" ht="17.25" x14ac:dyDescent="0.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</row>
    <row r="535" spans="1:41" ht="17.25" x14ac:dyDescent="0.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</row>
    <row r="536" spans="1:41" ht="17.25" x14ac:dyDescent="0.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</row>
    <row r="537" spans="1:41" ht="17.25" x14ac:dyDescent="0.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</row>
    <row r="538" spans="1:41" ht="17.25" x14ac:dyDescent="0.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</row>
    <row r="539" spans="1:41" ht="17.25" x14ac:dyDescent="0.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</row>
    <row r="540" spans="1:41" ht="17.25" x14ac:dyDescent="0.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</row>
    <row r="541" spans="1:41" ht="17.25" x14ac:dyDescent="0.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</row>
    <row r="542" spans="1:41" ht="17.25" x14ac:dyDescent="0.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</row>
    <row r="543" spans="1:41" ht="17.25" x14ac:dyDescent="0.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</row>
    <row r="544" spans="1:41" ht="17.25" x14ac:dyDescent="0.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</row>
    <row r="545" spans="1:41" ht="17.25" x14ac:dyDescent="0.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</row>
    <row r="546" spans="1:41" ht="17.25" x14ac:dyDescent="0.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</row>
    <row r="547" spans="1:41" ht="17.25" x14ac:dyDescent="0.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</row>
    <row r="548" spans="1:41" ht="17.25" x14ac:dyDescent="0.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</row>
    <row r="549" spans="1:41" ht="17.25" x14ac:dyDescent="0.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</row>
    <row r="550" spans="1:41" ht="17.25" x14ac:dyDescent="0.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</row>
    <row r="551" spans="1:41" ht="17.25" x14ac:dyDescent="0.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</row>
    <row r="552" spans="1:41" ht="17.25" x14ac:dyDescent="0.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</row>
    <row r="553" spans="1:41" ht="17.25" x14ac:dyDescent="0.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</row>
    <row r="554" spans="1:41" ht="17.25" x14ac:dyDescent="0.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</row>
    <row r="555" spans="1:41" ht="17.25" x14ac:dyDescent="0.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</row>
    <row r="556" spans="1:41" ht="17.25" x14ac:dyDescent="0.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</row>
    <row r="557" spans="1:41" ht="17.25" x14ac:dyDescent="0.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</row>
    <row r="558" spans="1:41" ht="17.25" x14ac:dyDescent="0.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</row>
    <row r="559" spans="1:41" ht="17.25" x14ac:dyDescent="0.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</row>
    <row r="560" spans="1:41" ht="17.25" x14ac:dyDescent="0.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</row>
    <row r="561" spans="1:41" ht="17.25" x14ac:dyDescent="0.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</row>
    <row r="562" spans="1:41" ht="17.25" x14ac:dyDescent="0.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</row>
    <row r="563" spans="1:41" ht="17.25" x14ac:dyDescent="0.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</row>
    <row r="564" spans="1:41" ht="17.25" x14ac:dyDescent="0.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</row>
    <row r="565" spans="1:41" ht="17.25" x14ac:dyDescent="0.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</row>
    <row r="566" spans="1:41" ht="17.25" x14ac:dyDescent="0.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</row>
    <row r="567" spans="1:41" ht="17.25" x14ac:dyDescent="0.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</row>
    <row r="568" spans="1:41" ht="17.25" x14ac:dyDescent="0.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</row>
    <row r="569" spans="1:41" ht="17.25" x14ac:dyDescent="0.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</row>
    <row r="570" spans="1:41" ht="17.25" x14ac:dyDescent="0.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</row>
    <row r="571" spans="1:41" ht="17.25" x14ac:dyDescent="0.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</row>
    <row r="572" spans="1:41" ht="17.25" x14ac:dyDescent="0.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</row>
    <row r="573" spans="1:41" ht="17.25" x14ac:dyDescent="0.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</row>
    <row r="574" spans="1:41" ht="17.25" x14ac:dyDescent="0.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</row>
    <row r="575" spans="1:41" ht="17.25" x14ac:dyDescent="0.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</row>
    <row r="576" spans="1:41" ht="17.25" x14ac:dyDescent="0.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</row>
    <row r="577" spans="1:41" ht="17.25" x14ac:dyDescent="0.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</row>
    <row r="578" spans="1:41" ht="17.25" x14ac:dyDescent="0.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</row>
    <row r="579" spans="1:41" ht="17.25" x14ac:dyDescent="0.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</row>
    <row r="580" spans="1:41" ht="17.25" x14ac:dyDescent="0.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</row>
    <row r="581" spans="1:41" ht="17.25" x14ac:dyDescent="0.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</row>
    <row r="582" spans="1:41" ht="17.25" x14ac:dyDescent="0.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</row>
    <row r="583" spans="1:41" ht="17.25" x14ac:dyDescent="0.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</row>
    <row r="584" spans="1:41" ht="17.25" x14ac:dyDescent="0.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</row>
    <row r="585" spans="1:41" ht="17.25" x14ac:dyDescent="0.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</row>
    <row r="586" spans="1:41" ht="17.25" x14ac:dyDescent="0.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</row>
    <row r="587" spans="1:41" ht="17.25" x14ac:dyDescent="0.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</row>
    <row r="588" spans="1:41" ht="17.25" x14ac:dyDescent="0.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</row>
    <row r="589" spans="1:41" ht="17.25" x14ac:dyDescent="0.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</row>
    <row r="590" spans="1:41" ht="17.25" x14ac:dyDescent="0.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</row>
    <row r="591" spans="1:41" ht="17.25" x14ac:dyDescent="0.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</row>
    <row r="592" spans="1:41" ht="17.25" x14ac:dyDescent="0.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</row>
    <row r="593" spans="1:41" ht="17.25" x14ac:dyDescent="0.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</row>
    <row r="594" spans="1:41" ht="17.25" x14ac:dyDescent="0.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</row>
    <row r="595" spans="1:41" ht="17.25" x14ac:dyDescent="0.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</row>
    <row r="596" spans="1:41" ht="17.25" x14ac:dyDescent="0.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</row>
    <row r="597" spans="1:41" ht="17.25" x14ac:dyDescent="0.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</row>
    <row r="598" spans="1:41" ht="17.25" x14ac:dyDescent="0.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</row>
    <row r="599" spans="1:41" ht="17.25" x14ac:dyDescent="0.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</row>
    <row r="600" spans="1:41" ht="17.25" x14ac:dyDescent="0.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</row>
    <row r="601" spans="1:41" ht="17.25" x14ac:dyDescent="0.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</row>
    <row r="602" spans="1:41" ht="17.25" x14ac:dyDescent="0.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</row>
    <row r="603" spans="1:41" ht="17.25" x14ac:dyDescent="0.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</row>
    <row r="604" spans="1:41" ht="17.25" x14ac:dyDescent="0.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</row>
    <row r="605" spans="1:41" ht="17.25" x14ac:dyDescent="0.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</row>
    <row r="606" spans="1:41" ht="17.25" x14ac:dyDescent="0.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</row>
    <row r="607" spans="1:41" ht="17.25" x14ac:dyDescent="0.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</row>
    <row r="608" spans="1:41" ht="17.25" x14ac:dyDescent="0.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</row>
    <row r="609" spans="1:41" ht="17.25" x14ac:dyDescent="0.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</row>
    <row r="610" spans="1:41" ht="17.25" x14ac:dyDescent="0.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</row>
    <row r="611" spans="1:41" ht="17.25" x14ac:dyDescent="0.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</row>
    <row r="612" spans="1:41" ht="17.25" x14ac:dyDescent="0.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</row>
    <row r="613" spans="1:41" ht="17.25" x14ac:dyDescent="0.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</row>
    <row r="614" spans="1:41" ht="17.25" x14ac:dyDescent="0.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</row>
    <row r="615" spans="1:41" ht="17.25" x14ac:dyDescent="0.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</row>
    <row r="616" spans="1:41" ht="17.25" x14ac:dyDescent="0.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</row>
    <row r="617" spans="1:41" ht="17.25" x14ac:dyDescent="0.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</row>
    <row r="618" spans="1:41" ht="17.25" x14ac:dyDescent="0.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</row>
    <row r="619" spans="1:41" ht="17.25" x14ac:dyDescent="0.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</row>
    <row r="620" spans="1:41" ht="17.25" x14ac:dyDescent="0.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</row>
    <row r="621" spans="1:41" ht="17.25" x14ac:dyDescent="0.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</row>
    <row r="622" spans="1:41" ht="17.25" x14ac:dyDescent="0.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</row>
    <row r="623" spans="1:41" ht="17.25" x14ac:dyDescent="0.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</row>
    <row r="624" spans="1:41" ht="17.25" x14ac:dyDescent="0.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</row>
    <row r="625" spans="1:41" ht="17.25" x14ac:dyDescent="0.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</row>
    <row r="626" spans="1:41" ht="17.25" x14ac:dyDescent="0.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</row>
    <row r="627" spans="1:41" ht="17.25" x14ac:dyDescent="0.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</row>
    <row r="628" spans="1:41" ht="17.25" x14ac:dyDescent="0.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</row>
    <row r="629" spans="1:41" ht="17.25" x14ac:dyDescent="0.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</row>
    <row r="630" spans="1:41" ht="17.25" x14ac:dyDescent="0.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</row>
    <row r="631" spans="1:41" ht="17.25" x14ac:dyDescent="0.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</row>
    <row r="632" spans="1:41" ht="17.25" x14ac:dyDescent="0.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</row>
    <row r="633" spans="1:41" ht="17.25" x14ac:dyDescent="0.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</row>
    <row r="634" spans="1:41" ht="17.25" x14ac:dyDescent="0.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</row>
    <row r="635" spans="1:41" ht="17.25" x14ac:dyDescent="0.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</row>
    <row r="636" spans="1:41" ht="17.25" x14ac:dyDescent="0.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</row>
    <row r="637" spans="1:41" ht="17.25" x14ac:dyDescent="0.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</row>
    <row r="638" spans="1:41" ht="17.25" x14ac:dyDescent="0.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</row>
    <row r="639" spans="1:41" ht="17.25" x14ac:dyDescent="0.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</row>
    <row r="640" spans="1:41" ht="17.25" x14ac:dyDescent="0.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</row>
    <row r="641" spans="1:41" ht="17.25" x14ac:dyDescent="0.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</row>
    <row r="642" spans="1:41" ht="17.25" x14ac:dyDescent="0.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</row>
    <row r="643" spans="1:41" ht="17.25" x14ac:dyDescent="0.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</row>
    <row r="644" spans="1:41" ht="17.25" x14ac:dyDescent="0.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</row>
    <row r="645" spans="1:41" ht="17.25" x14ac:dyDescent="0.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</row>
    <row r="646" spans="1:41" ht="17.25" x14ac:dyDescent="0.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</row>
    <row r="647" spans="1:41" ht="17.25" x14ac:dyDescent="0.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</row>
    <row r="648" spans="1:41" ht="17.25" x14ac:dyDescent="0.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</row>
    <row r="649" spans="1:41" ht="17.25" x14ac:dyDescent="0.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</row>
    <row r="650" spans="1:41" ht="17.25" x14ac:dyDescent="0.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</row>
    <row r="651" spans="1:41" ht="17.25" x14ac:dyDescent="0.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</row>
    <row r="652" spans="1:41" ht="17.25" x14ac:dyDescent="0.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</row>
    <row r="653" spans="1:41" ht="17.25" x14ac:dyDescent="0.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</row>
    <row r="654" spans="1:41" ht="17.25" x14ac:dyDescent="0.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</row>
    <row r="655" spans="1:41" ht="17.25" x14ac:dyDescent="0.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</row>
    <row r="656" spans="1:41" ht="17.25" x14ac:dyDescent="0.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</row>
    <row r="657" spans="1:41" ht="17.25" x14ac:dyDescent="0.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</row>
    <row r="658" spans="1:41" ht="17.25" x14ac:dyDescent="0.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</row>
    <row r="659" spans="1:41" ht="17.25" x14ac:dyDescent="0.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</row>
    <row r="660" spans="1:41" ht="17.25" x14ac:dyDescent="0.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</row>
    <row r="661" spans="1:41" ht="17.25" x14ac:dyDescent="0.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</row>
    <row r="662" spans="1:41" ht="17.25" x14ac:dyDescent="0.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</row>
    <row r="663" spans="1:41" ht="17.25" x14ac:dyDescent="0.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</row>
    <row r="664" spans="1:41" ht="17.25" x14ac:dyDescent="0.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</row>
    <row r="665" spans="1:41" ht="17.25" x14ac:dyDescent="0.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</row>
    <row r="666" spans="1:41" ht="17.25" x14ac:dyDescent="0.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</row>
    <row r="667" spans="1:41" ht="17.25" x14ac:dyDescent="0.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</row>
    <row r="668" spans="1:41" ht="17.25" x14ac:dyDescent="0.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</row>
    <row r="669" spans="1:41" ht="17.25" x14ac:dyDescent="0.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</row>
    <row r="670" spans="1:41" ht="17.25" x14ac:dyDescent="0.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</row>
    <row r="671" spans="1:41" ht="17.25" x14ac:dyDescent="0.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</row>
    <row r="672" spans="1:41" ht="17.25" x14ac:dyDescent="0.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</row>
    <row r="673" spans="1:41" ht="17.25" x14ac:dyDescent="0.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</row>
    <row r="674" spans="1:41" ht="17.25" x14ac:dyDescent="0.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</row>
    <row r="675" spans="1:41" ht="17.25" x14ac:dyDescent="0.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</row>
    <row r="676" spans="1:41" ht="17.25" x14ac:dyDescent="0.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</row>
    <row r="677" spans="1:41" ht="17.25" x14ac:dyDescent="0.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</row>
    <row r="678" spans="1:41" ht="17.25" x14ac:dyDescent="0.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</row>
    <row r="679" spans="1:41" ht="17.25" x14ac:dyDescent="0.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</row>
    <row r="680" spans="1:41" ht="17.25" x14ac:dyDescent="0.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</row>
    <row r="681" spans="1:41" ht="17.25" x14ac:dyDescent="0.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</row>
    <row r="682" spans="1:41" ht="17.25" x14ac:dyDescent="0.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</row>
    <row r="683" spans="1:41" ht="17.25" x14ac:dyDescent="0.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</row>
    <row r="684" spans="1:41" ht="17.25" x14ac:dyDescent="0.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</row>
    <row r="685" spans="1:41" ht="17.25" x14ac:dyDescent="0.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</row>
    <row r="686" spans="1:41" ht="17.25" x14ac:dyDescent="0.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</row>
    <row r="687" spans="1:41" ht="17.25" x14ac:dyDescent="0.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</row>
    <row r="688" spans="1:41" ht="17.25" x14ac:dyDescent="0.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</row>
    <row r="689" spans="1:41" ht="17.25" x14ac:dyDescent="0.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</row>
    <row r="690" spans="1:41" ht="17.25" x14ac:dyDescent="0.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</row>
    <row r="691" spans="1:41" ht="17.25" x14ac:dyDescent="0.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</row>
    <row r="692" spans="1:41" ht="17.25" x14ac:dyDescent="0.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</row>
    <row r="693" spans="1:41" ht="17.25" x14ac:dyDescent="0.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</row>
    <row r="694" spans="1:41" ht="17.25" x14ac:dyDescent="0.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</row>
    <row r="695" spans="1:41" ht="17.25" x14ac:dyDescent="0.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</row>
    <row r="696" spans="1:41" ht="17.25" x14ac:dyDescent="0.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</row>
    <row r="697" spans="1:41" ht="17.25" x14ac:dyDescent="0.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</row>
    <row r="698" spans="1:41" ht="17.25" x14ac:dyDescent="0.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</row>
    <row r="699" spans="1:41" ht="17.25" x14ac:dyDescent="0.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</row>
    <row r="700" spans="1:41" ht="17.25" x14ac:dyDescent="0.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</row>
    <row r="701" spans="1:41" ht="17.25" x14ac:dyDescent="0.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</row>
    <row r="702" spans="1:41" ht="17.25" x14ac:dyDescent="0.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</row>
    <row r="703" spans="1:41" ht="17.25" x14ac:dyDescent="0.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</row>
    <row r="704" spans="1:41" ht="17.25" x14ac:dyDescent="0.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</row>
    <row r="705" spans="1:41" ht="17.25" x14ac:dyDescent="0.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</row>
    <row r="706" spans="1:41" ht="17.25" x14ac:dyDescent="0.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</row>
    <row r="707" spans="1:41" ht="17.25" x14ac:dyDescent="0.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</row>
    <row r="708" spans="1:41" ht="17.25" x14ac:dyDescent="0.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</row>
    <row r="709" spans="1:41" ht="17.25" x14ac:dyDescent="0.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</row>
    <row r="710" spans="1:41" ht="17.25" x14ac:dyDescent="0.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</row>
    <row r="711" spans="1:41" ht="17.25" x14ac:dyDescent="0.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</row>
    <row r="712" spans="1:41" ht="17.25" x14ac:dyDescent="0.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</row>
    <row r="713" spans="1:41" ht="17.25" x14ac:dyDescent="0.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</row>
    <row r="714" spans="1:41" ht="17.25" x14ac:dyDescent="0.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</row>
    <row r="715" spans="1:41" ht="17.25" x14ac:dyDescent="0.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</row>
    <row r="716" spans="1:41" ht="17.25" x14ac:dyDescent="0.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</row>
    <row r="717" spans="1:41" ht="17.25" x14ac:dyDescent="0.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</row>
    <row r="718" spans="1:41" ht="17.25" x14ac:dyDescent="0.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</row>
    <row r="719" spans="1:41" ht="17.25" x14ac:dyDescent="0.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</row>
    <row r="720" spans="1:41" ht="17.25" x14ac:dyDescent="0.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</row>
    <row r="721" spans="1:41" ht="17.25" x14ac:dyDescent="0.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</row>
    <row r="722" spans="1:41" ht="17.25" x14ac:dyDescent="0.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</row>
    <row r="723" spans="1:41" ht="17.25" x14ac:dyDescent="0.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</row>
    <row r="724" spans="1:41" ht="17.25" x14ac:dyDescent="0.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</row>
    <row r="725" spans="1:41" ht="17.25" x14ac:dyDescent="0.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</row>
    <row r="726" spans="1:41" ht="17.25" x14ac:dyDescent="0.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</row>
    <row r="727" spans="1:41" ht="17.25" x14ac:dyDescent="0.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</row>
    <row r="728" spans="1:41" ht="17.25" x14ac:dyDescent="0.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</row>
    <row r="729" spans="1:41" ht="17.25" x14ac:dyDescent="0.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</row>
    <row r="730" spans="1:41" ht="17.25" x14ac:dyDescent="0.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</row>
    <row r="731" spans="1:41" ht="17.25" x14ac:dyDescent="0.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</row>
    <row r="732" spans="1:41" ht="17.25" x14ac:dyDescent="0.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</row>
    <row r="733" spans="1:41" ht="17.25" x14ac:dyDescent="0.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</row>
    <row r="734" spans="1:41" ht="17.25" x14ac:dyDescent="0.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</row>
    <row r="735" spans="1:41" ht="17.25" x14ac:dyDescent="0.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</row>
    <row r="736" spans="1:41" ht="17.25" x14ac:dyDescent="0.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</row>
    <row r="737" spans="1:41" ht="17.25" x14ac:dyDescent="0.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</row>
    <row r="738" spans="1:41" ht="17.25" x14ac:dyDescent="0.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</row>
    <row r="739" spans="1:41" ht="17.25" x14ac:dyDescent="0.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</row>
    <row r="740" spans="1:41" ht="17.25" x14ac:dyDescent="0.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</row>
    <row r="741" spans="1:41" ht="17.25" x14ac:dyDescent="0.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</row>
    <row r="742" spans="1:41" ht="17.25" x14ac:dyDescent="0.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</row>
    <row r="743" spans="1:41" ht="17.25" x14ac:dyDescent="0.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</row>
    <row r="744" spans="1:41" ht="17.25" x14ac:dyDescent="0.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</row>
    <row r="745" spans="1:41" ht="17.25" x14ac:dyDescent="0.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</row>
    <row r="746" spans="1:41" ht="17.25" x14ac:dyDescent="0.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</row>
    <row r="747" spans="1:41" ht="17.25" x14ac:dyDescent="0.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</row>
    <row r="748" spans="1:41" ht="17.25" x14ac:dyDescent="0.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</row>
    <row r="749" spans="1:41" ht="17.25" x14ac:dyDescent="0.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</row>
    <row r="750" spans="1:41" ht="17.25" x14ac:dyDescent="0.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</row>
    <row r="751" spans="1:41" ht="17.25" x14ac:dyDescent="0.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</row>
    <row r="752" spans="1:41" ht="17.25" x14ac:dyDescent="0.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</row>
    <row r="753" spans="1:41" ht="17.25" x14ac:dyDescent="0.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</row>
    <row r="754" spans="1:41" ht="17.25" x14ac:dyDescent="0.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</row>
    <row r="755" spans="1:41" ht="17.25" x14ac:dyDescent="0.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</row>
    <row r="756" spans="1:41" ht="17.25" x14ac:dyDescent="0.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</row>
    <row r="757" spans="1:41" ht="17.25" x14ac:dyDescent="0.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</row>
    <row r="758" spans="1:41" ht="17.25" x14ac:dyDescent="0.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</row>
    <row r="759" spans="1:41" ht="17.25" x14ac:dyDescent="0.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</row>
    <row r="760" spans="1:41" ht="17.25" x14ac:dyDescent="0.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</row>
    <row r="761" spans="1:41" ht="17.25" x14ac:dyDescent="0.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</row>
    <row r="762" spans="1:41" ht="17.25" x14ac:dyDescent="0.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</row>
    <row r="763" spans="1:41" ht="17.25" x14ac:dyDescent="0.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</row>
    <row r="764" spans="1:41" ht="17.25" x14ac:dyDescent="0.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</row>
    <row r="765" spans="1:41" ht="17.25" x14ac:dyDescent="0.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</row>
    <row r="766" spans="1:41" ht="17.25" x14ac:dyDescent="0.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</row>
    <row r="767" spans="1:41" ht="17.25" x14ac:dyDescent="0.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</row>
    <row r="768" spans="1:41" ht="17.25" x14ac:dyDescent="0.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</row>
    <row r="769" spans="1:41" ht="17.25" x14ac:dyDescent="0.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</row>
    <row r="770" spans="1:41" ht="17.25" x14ac:dyDescent="0.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</row>
    <row r="771" spans="1:41" ht="17.25" x14ac:dyDescent="0.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</row>
    <row r="772" spans="1:41" ht="17.25" x14ac:dyDescent="0.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</row>
    <row r="773" spans="1:41" ht="17.25" x14ac:dyDescent="0.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</row>
    <row r="774" spans="1:41" ht="17.25" x14ac:dyDescent="0.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</row>
    <row r="775" spans="1:41" ht="17.25" x14ac:dyDescent="0.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</row>
    <row r="776" spans="1:41" ht="17.25" x14ac:dyDescent="0.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</row>
    <row r="777" spans="1:41" ht="17.25" x14ac:dyDescent="0.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</row>
    <row r="778" spans="1:41" ht="17.25" x14ac:dyDescent="0.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</row>
    <row r="779" spans="1:41" ht="17.25" x14ac:dyDescent="0.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</row>
    <row r="780" spans="1:41" ht="17.25" x14ac:dyDescent="0.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</row>
    <row r="781" spans="1:41" ht="17.25" x14ac:dyDescent="0.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</row>
    <row r="782" spans="1:41" ht="17.25" x14ac:dyDescent="0.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</row>
    <row r="783" spans="1:41" ht="17.25" x14ac:dyDescent="0.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</row>
    <row r="784" spans="1:41" ht="17.25" x14ac:dyDescent="0.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</row>
    <row r="785" spans="1:41" ht="17.25" x14ac:dyDescent="0.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</row>
    <row r="786" spans="1:41" ht="17.25" x14ac:dyDescent="0.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</row>
    <row r="787" spans="1:41" ht="17.25" x14ac:dyDescent="0.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</row>
    <row r="788" spans="1:41" ht="17.25" x14ac:dyDescent="0.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</row>
    <row r="789" spans="1:41" ht="17.25" x14ac:dyDescent="0.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</row>
    <row r="790" spans="1:41" ht="17.25" x14ac:dyDescent="0.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</row>
    <row r="791" spans="1:41" ht="17.25" x14ac:dyDescent="0.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</row>
    <row r="792" spans="1:41" ht="17.25" x14ac:dyDescent="0.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</row>
    <row r="793" spans="1:41" ht="17.25" x14ac:dyDescent="0.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</row>
    <row r="794" spans="1:41" ht="17.25" x14ac:dyDescent="0.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</row>
    <row r="795" spans="1:41" ht="17.25" x14ac:dyDescent="0.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</row>
    <row r="796" spans="1:41" ht="17.25" x14ac:dyDescent="0.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</row>
    <row r="797" spans="1:41" ht="17.25" x14ac:dyDescent="0.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</row>
    <row r="798" spans="1:41" ht="17.25" x14ac:dyDescent="0.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</row>
    <row r="799" spans="1:41" ht="17.25" x14ac:dyDescent="0.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</row>
    <row r="800" spans="1:41" ht="17.25" x14ac:dyDescent="0.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</row>
    <row r="801" spans="1:41" ht="17.25" x14ac:dyDescent="0.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</row>
    <row r="802" spans="1:41" ht="17.25" x14ac:dyDescent="0.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</row>
    <row r="803" spans="1:41" ht="17.25" x14ac:dyDescent="0.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</row>
    <row r="804" spans="1:41" ht="17.25" x14ac:dyDescent="0.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</row>
    <row r="805" spans="1:41" ht="17.25" x14ac:dyDescent="0.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</row>
    <row r="806" spans="1:41" ht="17.25" x14ac:dyDescent="0.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</row>
    <row r="807" spans="1:41" ht="17.25" x14ac:dyDescent="0.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</row>
    <row r="808" spans="1:41" ht="17.25" x14ac:dyDescent="0.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</row>
    <row r="809" spans="1:41" ht="17.25" x14ac:dyDescent="0.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</row>
    <row r="810" spans="1:41" ht="17.25" x14ac:dyDescent="0.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</row>
    <row r="811" spans="1:41" ht="17.25" x14ac:dyDescent="0.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</row>
    <row r="812" spans="1:41" ht="17.25" x14ac:dyDescent="0.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</row>
    <row r="813" spans="1:41" ht="17.25" x14ac:dyDescent="0.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</row>
    <row r="814" spans="1:41" ht="17.25" x14ac:dyDescent="0.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</row>
    <row r="815" spans="1:41" ht="17.25" x14ac:dyDescent="0.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</row>
    <row r="816" spans="1:41" ht="17.25" x14ac:dyDescent="0.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</row>
    <row r="817" spans="1:41" ht="17.25" x14ac:dyDescent="0.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</row>
    <row r="818" spans="1:41" ht="17.25" x14ac:dyDescent="0.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</row>
    <row r="819" spans="1:41" ht="17.25" x14ac:dyDescent="0.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</row>
    <row r="820" spans="1:41" ht="17.25" x14ac:dyDescent="0.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</row>
    <row r="821" spans="1:41" ht="17.25" x14ac:dyDescent="0.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</row>
    <row r="822" spans="1:41" ht="17.25" x14ac:dyDescent="0.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</row>
    <row r="823" spans="1:41" ht="17.25" x14ac:dyDescent="0.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</row>
    <row r="824" spans="1:41" ht="17.25" x14ac:dyDescent="0.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</row>
    <row r="825" spans="1:41" ht="17.25" x14ac:dyDescent="0.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</row>
    <row r="826" spans="1:41" ht="17.25" x14ac:dyDescent="0.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</row>
    <row r="827" spans="1:41" ht="17.25" x14ac:dyDescent="0.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</row>
    <row r="828" spans="1:41" ht="17.25" x14ac:dyDescent="0.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</row>
    <row r="829" spans="1:41" ht="17.25" x14ac:dyDescent="0.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</row>
    <row r="830" spans="1:41" ht="17.25" x14ac:dyDescent="0.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</row>
    <row r="831" spans="1:41" ht="17.25" x14ac:dyDescent="0.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</row>
    <row r="832" spans="1:41" ht="17.25" x14ac:dyDescent="0.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</row>
    <row r="833" spans="1:41" ht="17.25" x14ac:dyDescent="0.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</row>
    <row r="834" spans="1:41" ht="17.25" x14ac:dyDescent="0.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</row>
    <row r="835" spans="1:41" ht="17.25" x14ac:dyDescent="0.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</row>
    <row r="836" spans="1:41" ht="17.25" x14ac:dyDescent="0.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</row>
    <row r="837" spans="1:41" ht="17.25" x14ac:dyDescent="0.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</row>
    <row r="838" spans="1:41" ht="17.25" x14ac:dyDescent="0.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</row>
    <row r="839" spans="1:41" ht="17.25" x14ac:dyDescent="0.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</row>
    <row r="840" spans="1:41" ht="17.25" x14ac:dyDescent="0.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</row>
    <row r="841" spans="1:41" ht="17.25" x14ac:dyDescent="0.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</row>
    <row r="842" spans="1:41" ht="17.25" x14ac:dyDescent="0.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</row>
    <row r="843" spans="1:41" ht="17.25" x14ac:dyDescent="0.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</row>
    <row r="844" spans="1:41" ht="17.25" x14ac:dyDescent="0.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</row>
    <row r="845" spans="1:41" ht="17.25" x14ac:dyDescent="0.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</row>
    <row r="846" spans="1:41" ht="17.25" x14ac:dyDescent="0.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</row>
    <row r="847" spans="1:41" ht="17.25" x14ac:dyDescent="0.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</row>
    <row r="848" spans="1:41" ht="17.25" x14ac:dyDescent="0.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</row>
    <row r="849" spans="1:41" ht="17.25" x14ac:dyDescent="0.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</row>
    <row r="850" spans="1:41" ht="17.25" x14ac:dyDescent="0.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</row>
    <row r="851" spans="1:41" ht="17.25" x14ac:dyDescent="0.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</row>
    <row r="852" spans="1:41" ht="17.25" x14ac:dyDescent="0.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</row>
    <row r="853" spans="1:41" ht="17.25" x14ac:dyDescent="0.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</row>
    <row r="854" spans="1:41" ht="17.25" x14ac:dyDescent="0.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</row>
    <row r="855" spans="1:41" ht="17.25" x14ac:dyDescent="0.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</row>
    <row r="856" spans="1:41" ht="17.25" x14ac:dyDescent="0.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</row>
    <row r="857" spans="1:41" ht="17.25" x14ac:dyDescent="0.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</row>
    <row r="858" spans="1:41" ht="17.25" x14ac:dyDescent="0.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</row>
    <row r="859" spans="1:41" ht="17.25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</row>
    <row r="860" spans="1:41" ht="17.25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</row>
    <row r="861" spans="1:41" ht="17.25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</row>
    <row r="862" spans="1:41" ht="17.25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</row>
    <row r="863" spans="1:41" ht="17.25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</row>
    <row r="864" spans="1:41" ht="17.25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</row>
    <row r="865" spans="1:41" ht="17.25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</row>
    <row r="866" spans="1:41" ht="17.25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</row>
    <row r="867" spans="1:41" ht="17.25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</row>
    <row r="868" spans="1:41" ht="17.25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</row>
    <row r="869" spans="1:41" ht="17.25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</row>
    <row r="870" spans="1:41" ht="17.25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</row>
    <row r="871" spans="1:41" ht="17.25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</row>
    <row r="872" spans="1:41" ht="17.25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</row>
    <row r="873" spans="1:41" ht="17.25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</row>
    <row r="874" spans="1:41" ht="17.25" x14ac:dyDescent="0.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</row>
    <row r="875" spans="1:41" ht="17.25" x14ac:dyDescent="0.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</row>
    <row r="876" spans="1:41" ht="17.25" x14ac:dyDescent="0.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</row>
    <row r="877" spans="1:41" ht="17.25" x14ac:dyDescent="0.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</row>
    <row r="878" spans="1:41" ht="17.25" x14ac:dyDescent="0.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</row>
    <row r="879" spans="1:41" ht="17.25" x14ac:dyDescent="0.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</row>
    <row r="880" spans="1:41" ht="17.25" x14ac:dyDescent="0.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</row>
    <row r="881" spans="1:41" ht="17.25" x14ac:dyDescent="0.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</row>
    <row r="882" spans="1:41" ht="17.25" x14ac:dyDescent="0.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</row>
    <row r="883" spans="1:41" ht="17.25" x14ac:dyDescent="0.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</row>
    <row r="884" spans="1:41" ht="17.25" x14ac:dyDescent="0.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</row>
    <row r="885" spans="1:41" ht="17.25" x14ac:dyDescent="0.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</row>
    <row r="886" spans="1:41" ht="17.25" x14ac:dyDescent="0.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</row>
    <row r="887" spans="1:41" ht="17.25" x14ac:dyDescent="0.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</row>
    <row r="888" spans="1:41" ht="17.25" x14ac:dyDescent="0.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</row>
    <row r="889" spans="1:41" ht="17.25" x14ac:dyDescent="0.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</row>
    <row r="890" spans="1:41" ht="17.25" x14ac:dyDescent="0.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</row>
    <row r="891" spans="1:41" ht="17.25" x14ac:dyDescent="0.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</row>
    <row r="892" spans="1:41" ht="17.25" x14ac:dyDescent="0.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</row>
    <row r="893" spans="1:41" ht="17.25" x14ac:dyDescent="0.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</row>
    <row r="894" spans="1:41" ht="17.25" x14ac:dyDescent="0.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</row>
    <row r="895" spans="1:41" ht="17.25" x14ac:dyDescent="0.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</row>
    <row r="896" spans="1:41" ht="17.25" x14ac:dyDescent="0.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</row>
    <row r="897" spans="1:41" ht="17.25" x14ac:dyDescent="0.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</row>
    <row r="898" spans="1:41" ht="17.25" x14ac:dyDescent="0.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</row>
    <row r="899" spans="1:41" ht="17.25" x14ac:dyDescent="0.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</row>
    <row r="900" spans="1:41" ht="17.25" x14ac:dyDescent="0.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</row>
    <row r="901" spans="1:41" ht="17.25" x14ac:dyDescent="0.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</row>
    <row r="902" spans="1:41" ht="17.25" x14ac:dyDescent="0.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</row>
    <row r="903" spans="1:41" ht="17.25" x14ac:dyDescent="0.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</row>
    <row r="904" spans="1:41" ht="17.25" x14ac:dyDescent="0.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</row>
    <row r="905" spans="1:41" ht="17.25" x14ac:dyDescent="0.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</row>
    <row r="906" spans="1:41" ht="17.25" x14ac:dyDescent="0.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</row>
    <row r="907" spans="1:41" ht="17.25" x14ac:dyDescent="0.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</row>
    <row r="908" spans="1:41" ht="17.25" x14ac:dyDescent="0.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</row>
    <row r="909" spans="1:41" ht="17.25" x14ac:dyDescent="0.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</row>
    <row r="910" spans="1:41" ht="17.25" x14ac:dyDescent="0.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</row>
    <row r="911" spans="1:41" ht="17.25" x14ac:dyDescent="0.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</row>
    <row r="912" spans="1:41" ht="17.25" x14ac:dyDescent="0.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</row>
    <row r="913" spans="1:41" ht="17.25" x14ac:dyDescent="0.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</row>
    <row r="914" spans="1:41" ht="17.25" x14ac:dyDescent="0.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</row>
    <row r="915" spans="1:41" ht="17.25" x14ac:dyDescent="0.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</row>
    <row r="916" spans="1:41" ht="17.25" x14ac:dyDescent="0.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</row>
    <row r="917" spans="1:41" ht="17.25" x14ac:dyDescent="0.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</row>
    <row r="918" spans="1:41" ht="17.25" x14ac:dyDescent="0.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</row>
    <row r="919" spans="1:41" ht="17.25" x14ac:dyDescent="0.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</row>
    <row r="920" spans="1:41" ht="17.25" x14ac:dyDescent="0.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</row>
    <row r="921" spans="1:41" ht="17.25" x14ac:dyDescent="0.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</row>
    <row r="922" spans="1:41" ht="17.25" x14ac:dyDescent="0.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</row>
    <row r="923" spans="1:41" ht="17.25" x14ac:dyDescent="0.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</row>
    <row r="924" spans="1:41" ht="17.25" x14ac:dyDescent="0.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</row>
    <row r="925" spans="1:41" ht="17.25" x14ac:dyDescent="0.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</row>
    <row r="926" spans="1:41" ht="17.25" x14ac:dyDescent="0.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</row>
    <row r="927" spans="1:41" ht="17.25" x14ac:dyDescent="0.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</row>
    <row r="928" spans="1:41" ht="17.25" x14ac:dyDescent="0.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</row>
    <row r="929" spans="1:41" ht="17.25" x14ac:dyDescent="0.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</row>
    <row r="930" spans="1:41" ht="17.25" x14ac:dyDescent="0.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</row>
    <row r="931" spans="1:41" ht="17.25" x14ac:dyDescent="0.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</row>
    <row r="932" spans="1:41" ht="17.25" x14ac:dyDescent="0.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</row>
    <row r="933" spans="1:41" ht="17.25" x14ac:dyDescent="0.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</row>
    <row r="934" spans="1:41" ht="17.25" x14ac:dyDescent="0.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</row>
    <row r="935" spans="1:41" ht="17.25" x14ac:dyDescent="0.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</row>
    <row r="936" spans="1:41" ht="17.25" x14ac:dyDescent="0.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</row>
    <row r="937" spans="1:41" ht="17.25" x14ac:dyDescent="0.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</row>
    <row r="938" spans="1:41" ht="17.25" x14ac:dyDescent="0.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</row>
    <row r="939" spans="1:41" ht="17.25" x14ac:dyDescent="0.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</row>
    <row r="940" spans="1:41" ht="17.25" x14ac:dyDescent="0.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</row>
    <row r="941" spans="1:41" ht="17.25" x14ac:dyDescent="0.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</row>
    <row r="942" spans="1:41" ht="17.25" x14ac:dyDescent="0.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</row>
    <row r="943" spans="1:41" ht="17.25" x14ac:dyDescent="0.1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</row>
    <row r="944" spans="1:41" ht="17.25" x14ac:dyDescent="0.1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</row>
    <row r="945" spans="1:41" ht="17.25" x14ac:dyDescent="0.1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</row>
    <row r="946" spans="1:41" ht="17.25" x14ac:dyDescent="0.1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</row>
    <row r="947" spans="1:41" ht="17.25" x14ac:dyDescent="0.1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</row>
    <row r="948" spans="1:41" ht="17.25" x14ac:dyDescent="0.1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</row>
    <row r="949" spans="1:41" ht="17.25" x14ac:dyDescent="0.1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</row>
    <row r="950" spans="1:41" ht="17.25" x14ac:dyDescent="0.1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</row>
    <row r="951" spans="1:41" ht="17.25" x14ac:dyDescent="0.1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</row>
    <row r="952" spans="1:41" ht="17.25" x14ac:dyDescent="0.1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</row>
    <row r="953" spans="1:41" ht="17.25" x14ac:dyDescent="0.1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</row>
    <row r="954" spans="1:41" ht="17.25" x14ac:dyDescent="0.1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</row>
    <row r="955" spans="1:41" ht="17.25" x14ac:dyDescent="0.1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</row>
    <row r="956" spans="1:41" ht="17.25" x14ac:dyDescent="0.1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</row>
    <row r="957" spans="1:41" ht="17.25" x14ac:dyDescent="0.1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</row>
    <row r="958" spans="1:41" ht="17.25" x14ac:dyDescent="0.1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</row>
  </sheetData>
  <mergeCells count="10">
    <mergeCell ref="A36:A37"/>
    <mergeCell ref="A45:A46"/>
    <mergeCell ref="A52:A53"/>
    <mergeCell ref="A1:B1"/>
    <mergeCell ref="A3:A5"/>
    <mergeCell ref="A6:A7"/>
    <mergeCell ref="A11:A12"/>
    <mergeCell ref="A13:A14"/>
    <mergeCell ref="A18:A19"/>
    <mergeCell ref="A28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  <outlinePr summaryBelow="0" summaryRight="0"/>
  </sheetPr>
  <dimension ref="A1:T966"/>
  <sheetViews>
    <sheetView workbookViewId="0"/>
  </sheetViews>
  <sheetFormatPr defaultColWidth="12.5390625" defaultRowHeight="15.75" customHeight="1" x14ac:dyDescent="0.15"/>
  <cols>
    <col min="1" max="1" width="41.3984375" customWidth="1"/>
    <col min="2" max="4" width="16.31640625" customWidth="1"/>
  </cols>
  <sheetData>
    <row r="1" spans="1:20" ht="15.75" customHeight="1" x14ac:dyDescent="0.15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8.75" x14ac:dyDescent="0.4">
      <c r="A2" s="5" t="s">
        <v>18</v>
      </c>
      <c r="B2" s="19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7.25" x14ac:dyDescent="0.15">
      <c r="A3" s="21" t="s">
        <v>19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7.25" x14ac:dyDescent="0.15">
      <c r="A4" s="21" t="s">
        <v>16</v>
      </c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7.25" x14ac:dyDescent="0.15">
      <c r="A5" s="19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7.25" x14ac:dyDescent="0.15">
      <c r="A6" s="19"/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8.75" x14ac:dyDescent="0.4">
      <c r="A7" s="5" t="s">
        <v>20</v>
      </c>
      <c r="B7" s="5" t="s">
        <v>21</v>
      </c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7.25" x14ac:dyDescent="0.3">
      <c r="A8" s="21" t="s">
        <v>22</v>
      </c>
      <c r="B8" s="22">
        <v>0.04</v>
      </c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7.25" x14ac:dyDescent="0.3">
      <c r="A9" s="21" t="s">
        <v>23</v>
      </c>
      <c r="B9" s="22">
        <v>0.2</v>
      </c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7.25" x14ac:dyDescent="0.3">
      <c r="A10" s="21" t="s">
        <v>24</v>
      </c>
      <c r="B10" s="22">
        <v>0.12</v>
      </c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7.25" x14ac:dyDescent="0.3">
      <c r="A11" s="21" t="s">
        <v>25</v>
      </c>
      <c r="B11" s="21">
        <v>3450</v>
      </c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7.25" x14ac:dyDescent="0.3">
      <c r="A12" s="21" t="s">
        <v>26</v>
      </c>
      <c r="B12" s="21">
        <v>70000</v>
      </c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7.25" x14ac:dyDescent="0.15">
      <c r="A13" s="19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7.25" x14ac:dyDescent="0.15">
      <c r="A14" s="19"/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7.25" x14ac:dyDescent="0.15">
      <c r="A15" s="19"/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7.25" x14ac:dyDescent="0.15">
      <c r="A16" s="19"/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7.25" x14ac:dyDescent="0.15">
      <c r="A17" s="19"/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7.25" x14ac:dyDescent="0.15">
      <c r="A18" s="19"/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7.25" x14ac:dyDescent="0.15">
      <c r="A19" s="19"/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x14ac:dyDescent="0.15">
      <c r="A20" s="19"/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7.25" x14ac:dyDescent="0.15">
      <c r="A21" s="19"/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7.25" x14ac:dyDescent="0.15">
      <c r="A22" s="19"/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7.25" x14ac:dyDescent="0.15">
      <c r="A23" s="19"/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7.25" x14ac:dyDescent="0.15">
      <c r="A24" s="19"/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7.25" x14ac:dyDescent="0.15">
      <c r="A25" s="19"/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7.25" x14ac:dyDescent="0.15">
      <c r="A26" s="19"/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7.25" x14ac:dyDescent="0.15">
      <c r="A27" s="19"/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7.25" x14ac:dyDescent="0.15">
      <c r="A28" s="19"/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7.25" x14ac:dyDescent="0.15">
      <c r="A29" s="19"/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7.25" x14ac:dyDescent="0.15">
      <c r="A30" s="19"/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7.25" x14ac:dyDescent="0.15">
      <c r="A31" s="19"/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7.25" x14ac:dyDescent="0.15">
      <c r="A32" s="19"/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7.25" x14ac:dyDescent="0.15">
      <c r="A33" s="19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7.25" x14ac:dyDescent="0.15">
      <c r="A34" s="19"/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7.25" x14ac:dyDescent="0.15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7.25" x14ac:dyDescent="0.15">
      <c r="A36" s="19"/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7.25" x14ac:dyDescent="0.15">
      <c r="A37" s="19"/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7.25" x14ac:dyDescent="0.15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7.25" x14ac:dyDescent="0.15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7.25" x14ac:dyDescent="0.15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7.25" x14ac:dyDescent="0.15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7.25" x14ac:dyDescent="0.15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7.25" x14ac:dyDescent="0.15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7.25" x14ac:dyDescent="0.15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7.25" x14ac:dyDescent="0.15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7.25" x14ac:dyDescent="0.15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7.25" x14ac:dyDescent="0.15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7.25" x14ac:dyDescent="0.15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7.25" x14ac:dyDescent="0.15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7.25" x14ac:dyDescent="0.15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7.25" x14ac:dyDescent="0.15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7.25" x14ac:dyDescent="0.1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7.25" x14ac:dyDescent="0.15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7.25" x14ac:dyDescent="0.15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7.25" x14ac:dyDescent="0.15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7.25" x14ac:dyDescent="0.15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7.25" x14ac:dyDescent="0.15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7.25" x14ac:dyDescent="0.15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7.25" x14ac:dyDescent="0.15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7.25" x14ac:dyDescent="0.15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7.25" x14ac:dyDescent="0.15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7.25" x14ac:dyDescent="0.15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7.25" x14ac:dyDescent="0.15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7.25" x14ac:dyDescent="0.15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7.25" x14ac:dyDescent="0.1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7.25" x14ac:dyDescent="0.15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7.25" x14ac:dyDescent="0.15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7.25" x14ac:dyDescent="0.15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7.25" x14ac:dyDescent="0.15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7.25" x14ac:dyDescent="0.15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7.25" x14ac:dyDescent="0.15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7.25" x14ac:dyDescent="0.15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7.25" x14ac:dyDescent="0.15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7.25" x14ac:dyDescent="0.15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7.25" x14ac:dyDescent="0.15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17.25" x14ac:dyDescent="0.15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17.25" x14ac:dyDescent="0.15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17.25" x14ac:dyDescent="0.15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7.25" x14ac:dyDescent="0.15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17.25" x14ac:dyDescent="0.15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7.25" x14ac:dyDescent="0.15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7.25" x14ac:dyDescent="0.15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7.25" x14ac:dyDescent="0.1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7.25" x14ac:dyDescent="0.15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7.25" x14ac:dyDescent="0.15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7.25" x14ac:dyDescent="0.15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17.25" x14ac:dyDescent="0.15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7.25" x14ac:dyDescent="0.15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17.25" x14ac:dyDescent="0.15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17.25" x14ac:dyDescent="0.1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17.25" x14ac:dyDescent="0.15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17.25" x14ac:dyDescent="0.15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17.25" x14ac:dyDescent="0.15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17.25" x14ac:dyDescent="0.15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7.25" x14ac:dyDescent="0.15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7.25" x14ac:dyDescent="0.15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17.25" x14ac:dyDescent="0.15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ht="17.25" x14ac:dyDescent="0.15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7.25" x14ac:dyDescent="0.15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17.25" x14ac:dyDescent="0.15">
      <c r="A100" s="19"/>
      <c r="B100" s="19"/>
      <c r="C100" s="2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ht="17.25" x14ac:dyDescent="0.15">
      <c r="A101" s="19"/>
      <c r="B101" s="19"/>
      <c r="C101" s="20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 ht="17.25" x14ac:dyDescent="0.15">
      <c r="A102" s="19"/>
      <c r="B102" s="19"/>
      <c r="C102" s="20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ht="17.25" x14ac:dyDescent="0.15">
      <c r="A103" s="19"/>
      <c r="B103" s="19"/>
      <c r="C103" s="20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7.25" x14ac:dyDescent="0.15">
      <c r="A104" s="19"/>
      <c r="B104" s="19"/>
      <c r="C104" s="20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17.25" x14ac:dyDescent="0.1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7.25" x14ac:dyDescent="0.15">
      <c r="A106" s="19"/>
      <c r="B106" s="19"/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7.25" x14ac:dyDescent="0.15">
      <c r="A107" s="19"/>
      <c r="B107" s="19"/>
      <c r="C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ht="17.25" x14ac:dyDescent="0.15">
      <c r="A108" s="19"/>
      <c r="B108" s="19"/>
      <c r="C108" s="20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ht="17.25" x14ac:dyDescent="0.15">
      <c r="A109" s="19"/>
      <c r="B109" s="19"/>
      <c r="C109" s="20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ht="17.25" x14ac:dyDescent="0.15">
      <c r="A110" s="19"/>
      <c r="B110" s="19"/>
      <c r="C110" s="20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ht="17.25" x14ac:dyDescent="0.15">
      <c r="A111" s="19"/>
      <c r="B111" s="19"/>
      <c r="C111" s="20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ht="17.25" x14ac:dyDescent="0.15">
      <c r="A112" s="19"/>
      <c r="B112" s="19"/>
      <c r="C112" s="20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ht="17.25" x14ac:dyDescent="0.15">
      <c r="A113" s="19"/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ht="17.25" x14ac:dyDescent="0.15">
      <c r="A114" s="19"/>
      <c r="B114" s="19"/>
      <c r="C114" s="20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ht="17.25" x14ac:dyDescent="0.15">
      <c r="A115" s="19"/>
      <c r="B115" s="19"/>
      <c r="C115" s="20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ht="17.25" x14ac:dyDescent="0.15">
      <c r="A116" s="19"/>
      <c r="B116" s="19"/>
      <c r="C116" s="20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ht="17.25" x14ac:dyDescent="0.15">
      <c r="A117" s="19"/>
      <c r="B117" s="19"/>
      <c r="C117" s="20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ht="17.25" x14ac:dyDescent="0.15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ht="17.25" x14ac:dyDescent="0.15">
      <c r="A119" s="19"/>
      <c r="B119" s="19"/>
      <c r="C119" s="2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ht="17.25" x14ac:dyDescent="0.15">
      <c r="A120" s="19"/>
      <c r="B120" s="19"/>
      <c r="C120" s="2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17.25" x14ac:dyDescent="0.15">
      <c r="A121" s="19"/>
      <c r="B121" s="19"/>
      <c r="C121" s="2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 ht="17.25" x14ac:dyDescent="0.15">
      <c r="A122" s="19"/>
      <c r="B122" s="19"/>
      <c r="C122" s="20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ht="17.25" x14ac:dyDescent="0.15">
      <c r="A123" s="19"/>
      <c r="B123" s="19"/>
      <c r="C123" s="20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ht="17.25" x14ac:dyDescent="0.15">
      <c r="A124" s="19"/>
      <c r="B124" s="19"/>
      <c r="C124" s="20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ht="17.25" x14ac:dyDescent="0.15">
      <c r="A125" s="19"/>
      <c r="B125" s="19"/>
      <c r="C125" s="2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ht="17.25" x14ac:dyDescent="0.15">
      <c r="A126" s="19"/>
      <c r="B126" s="19"/>
      <c r="C126" s="2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ht="17.25" x14ac:dyDescent="0.15">
      <c r="A127" s="19"/>
      <c r="B127" s="19"/>
      <c r="C127" s="2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ht="17.25" x14ac:dyDescent="0.15">
      <c r="A128" s="19"/>
      <c r="B128" s="19"/>
      <c r="C128" s="2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ht="17.25" x14ac:dyDescent="0.15">
      <c r="A129" s="19"/>
      <c r="B129" s="19"/>
      <c r="C129" s="2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ht="17.25" x14ac:dyDescent="0.15">
      <c r="A130" s="19"/>
      <c r="B130" s="19"/>
      <c r="C130" s="2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ht="17.25" x14ac:dyDescent="0.15">
      <c r="A131" s="19"/>
      <c r="B131" s="19"/>
      <c r="C131" s="2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ht="17.25" x14ac:dyDescent="0.15">
      <c r="A132" s="19"/>
      <c r="B132" s="19"/>
      <c r="C132" s="2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ht="17.25" x14ac:dyDescent="0.15">
      <c r="A133" s="19"/>
      <c r="B133" s="19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ht="17.25" x14ac:dyDescent="0.15">
      <c r="A134" s="19"/>
      <c r="B134" s="19"/>
      <c r="C134" s="20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ht="17.25" x14ac:dyDescent="0.15">
      <c r="A135" s="19"/>
      <c r="B135" s="19"/>
      <c r="C135" s="2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ht="17.25" x14ac:dyDescent="0.15">
      <c r="A136" s="19"/>
      <c r="B136" s="19"/>
      <c r="C136" s="20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17.25" x14ac:dyDescent="0.15">
      <c r="A137" s="19"/>
      <c r="B137" s="19"/>
      <c r="C137" s="20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17.25" x14ac:dyDescent="0.15">
      <c r="A138" s="19"/>
      <c r="B138" s="19"/>
      <c r="C138" s="20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ht="17.25" x14ac:dyDescent="0.15">
      <c r="A139" s="19"/>
      <c r="B139" s="19"/>
      <c r="C139" s="2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ht="17.25" x14ac:dyDescent="0.15">
      <c r="A140" s="19"/>
      <c r="B140" s="19"/>
      <c r="C140" s="2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ht="17.25" x14ac:dyDescent="0.15">
      <c r="A141" s="19"/>
      <c r="B141" s="19"/>
      <c r="C141" s="2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ht="17.25" x14ac:dyDescent="0.15">
      <c r="A142" s="19"/>
      <c r="B142" s="19"/>
      <c r="C142" s="20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17.25" x14ac:dyDescent="0.15">
      <c r="A143" s="19"/>
      <c r="B143" s="19"/>
      <c r="C143" s="20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17.25" x14ac:dyDescent="0.15">
      <c r="A144" s="19"/>
      <c r="B144" s="19"/>
      <c r="C144" s="20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ht="17.25" x14ac:dyDescent="0.15">
      <c r="A145" s="19"/>
      <c r="B145" s="19"/>
      <c r="C145" s="20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ht="17.25" x14ac:dyDescent="0.15">
      <c r="A146" s="19"/>
      <c r="B146" s="19"/>
      <c r="C146" s="20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ht="17.25" x14ac:dyDescent="0.15">
      <c r="A147" s="19"/>
      <c r="B147" s="19"/>
      <c r="C147" s="20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ht="17.25" x14ac:dyDescent="0.15">
      <c r="A148" s="19"/>
      <c r="B148" s="19"/>
      <c r="C148" s="20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ht="17.25" x14ac:dyDescent="0.15">
      <c r="A149" s="19"/>
      <c r="B149" s="19"/>
      <c r="C149" s="20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ht="17.25" x14ac:dyDescent="0.15">
      <c r="A150" s="19"/>
      <c r="B150" s="19"/>
      <c r="C150" s="20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ht="17.25" x14ac:dyDescent="0.15">
      <c r="A151" s="19"/>
      <c r="B151" s="19"/>
      <c r="C151" s="20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17.25" x14ac:dyDescent="0.15">
      <c r="A152" s="19"/>
      <c r="B152" s="19"/>
      <c r="C152" s="20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17.25" x14ac:dyDescent="0.15">
      <c r="A153" s="19"/>
      <c r="B153" s="19"/>
      <c r="C153" s="20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ht="17.25" x14ac:dyDescent="0.15">
      <c r="A154" s="19"/>
      <c r="B154" s="19"/>
      <c r="C154" s="20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ht="17.25" x14ac:dyDescent="0.15">
      <c r="A155" s="19"/>
      <c r="B155" s="19"/>
      <c r="C155" s="20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ht="17.25" x14ac:dyDescent="0.15">
      <c r="A156" s="19"/>
      <c r="B156" s="19"/>
      <c r="C156" s="20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7.25" x14ac:dyDescent="0.15">
      <c r="A157" s="19"/>
      <c r="B157" s="19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17.25" x14ac:dyDescent="0.1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17.25" x14ac:dyDescent="0.15">
      <c r="A159" s="19"/>
      <c r="B159" s="19"/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7.25" x14ac:dyDescent="0.15">
      <c r="A160" s="19"/>
      <c r="B160" s="19"/>
      <c r="C160" s="2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17.25" x14ac:dyDescent="0.15">
      <c r="A161" s="19"/>
      <c r="B161" s="19"/>
      <c r="C161" s="20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17.25" x14ac:dyDescent="0.15">
      <c r="A162" s="19"/>
      <c r="B162" s="19"/>
      <c r="C162" s="20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17.25" x14ac:dyDescent="0.15">
      <c r="A163" s="19"/>
      <c r="B163" s="19"/>
      <c r="C163" s="20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ht="17.25" x14ac:dyDescent="0.15">
      <c r="A164" s="19"/>
      <c r="B164" s="19"/>
      <c r="C164" s="20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ht="17.25" x14ac:dyDescent="0.15">
      <c r="A165" s="19"/>
      <c r="B165" s="19"/>
      <c r="C165" s="20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17.25" x14ac:dyDescent="0.15">
      <c r="A166" s="19"/>
      <c r="B166" s="19"/>
      <c r="C166" s="20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ht="17.25" x14ac:dyDescent="0.15">
      <c r="A167" s="19"/>
      <c r="B167" s="19"/>
      <c r="C167" s="20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ht="17.25" x14ac:dyDescent="0.15">
      <c r="A168" s="19"/>
      <c r="B168" s="19"/>
      <c r="C168" s="20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ht="17.25" x14ac:dyDescent="0.15">
      <c r="A169" s="19"/>
      <c r="B169" s="19"/>
      <c r="C169" s="20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17.25" x14ac:dyDescent="0.15">
      <c r="A170" s="19"/>
      <c r="B170" s="19"/>
      <c r="C170" s="20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ht="17.25" x14ac:dyDescent="0.15">
      <c r="A171" s="19"/>
      <c r="B171" s="19"/>
      <c r="C171" s="20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ht="17.25" x14ac:dyDescent="0.15">
      <c r="A172" s="19"/>
      <c r="B172" s="19"/>
      <c r="C172" s="20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ht="17.25" x14ac:dyDescent="0.15">
      <c r="A173" s="19"/>
      <c r="B173" s="19"/>
      <c r="C173" s="20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ht="17.25" x14ac:dyDescent="0.15">
      <c r="A174" s="19"/>
      <c r="B174" s="19"/>
      <c r="C174" s="20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17.25" x14ac:dyDescent="0.15">
      <c r="A175" s="19"/>
      <c r="B175" s="19"/>
      <c r="C175" s="20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ht="17.25" x14ac:dyDescent="0.15">
      <c r="A176" s="19"/>
      <c r="B176" s="19"/>
      <c r="C176" s="20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ht="17.25" x14ac:dyDescent="0.15">
      <c r="A177" s="19"/>
      <c r="B177" s="19"/>
      <c r="C177" s="20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17.25" x14ac:dyDescent="0.15">
      <c r="A178" s="19"/>
      <c r="B178" s="19"/>
      <c r="C178" s="20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ht="17.25" x14ac:dyDescent="0.15">
      <c r="A179" s="19"/>
      <c r="B179" s="19"/>
      <c r="C179" s="20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17.25" x14ac:dyDescent="0.15">
      <c r="A180" s="19"/>
      <c r="B180" s="19"/>
      <c r="C180" s="20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7.25" x14ac:dyDescent="0.15">
      <c r="A181" s="19"/>
      <c r="B181" s="19"/>
      <c r="C181" s="20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ht="17.25" x14ac:dyDescent="0.15">
      <c r="A182" s="19"/>
      <c r="B182" s="19"/>
      <c r="C182" s="20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ht="17.25" x14ac:dyDescent="0.15">
      <c r="A183" s="19"/>
      <c r="B183" s="19"/>
      <c r="C183" s="20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ht="17.25" x14ac:dyDescent="0.15">
      <c r="A184" s="19"/>
      <c r="B184" s="19"/>
      <c r="C184" s="20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ht="17.25" x14ac:dyDescent="0.15">
      <c r="A185" s="19"/>
      <c r="B185" s="19"/>
      <c r="C185" s="20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ht="17.25" x14ac:dyDescent="0.15">
      <c r="A186" s="19"/>
      <c r="B186" s="19"/>
      <c r="C186" s="2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ht="17.25" x14ac:dyDescent="0.15">
      <c r="A187" s="19"/>
      <c r="B187" s="19"/>
      <c r="C187" s="2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ht="17.25" x14ac:dyDescent="0.15">
      <c r="A188" s="19"/>
      <c r="B188" s="19"/>
      <c r="C188" s="20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ht="17.25" x14ac:dyDescent="0.15">
      <c r="A189" s="19"/>
      <c r="B189" s="19"/>
      <c r="C189" s="2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ht="17.25" x14ac:dyDescent="0.15">
      <c r="A190" s="19"/>
      <c r="B190" s="19"/>
      <c r="C190" s="20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17.25" x14ac:dyDescent="0.15">
      <c r="A191" s="19"/>
      <c r="B191" s="19"/>
      <c r="C191" s="20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ht="17.25" x14ac:dyDescent="0.15">
      <c r="A192" s="19"/>
      <c r="B192" s="19"/>
      <c r="C192" s="20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17.25" x14ac:dyDescent="0.15">
      <c r="A193" s="19"/>
      <c r="B193" s="19"/>
      <c r="C193" s="2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ht="17.25" x14ac:dyDescent="0.15">
      <c r="A194" s="19"/>
      <c r="B194" s="19"/>
      <c r="C194" s="20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ht="17.25" x14ac:dyDescent="0.15">
      <c r="A195" s="19"/>
      <c r="B195" s="19"/>
      <c r="C195" s="2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17.25" x14ac:dyDescent="0.15">
      <c r="A196" s="19"/>
      <c r="B196" s="19"/>
      <c r="C196" s="20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ht="17.25" x14ac:dyDescent="0.15">
      <c r="A197" s="19"/>
      <c r="B197" s="19"/>
      <c r="C197" s="20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17.25" x14ac:dyDescent="0.15">
      <c r="A198" s="19"/>
      <c r="B198" s="19"/>
      <c r="C198" s="2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ht="17.25" x14ac:dyDescent="0.15">
      <c r="A199" s="19"/>
      <c r="B199" s="19"/>
      <c r="C199" s="20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17.25" x14ac:dyDescent="0.15">
      <c r="A200" s="19"/>
      <c r="B200" s="19"/>
      <c r="C200" s="20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17.25" x14ac:dyDescent="0.15">
      <c r="A201" s="19"/>
      <c r="B201" s="19"/>
      <c r="C201" s="20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ht="17.25" x14ac:dyDescent="0.15">
      <c r="A202" s="19"/>
      <c r="B202" s="19"/>
      <c r="C202" s="20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17.25" x14ac:dyDescent="0.15">
      <c r="A203" s="19"/>
      <c r="B203" s="19"/>
      <c r="C203" s="20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17.25" x14ac:dyDescent="0.15">
      <c r="A204" s="19"/>
      <c r="B204" s="19"/>
      <c r="C204" s="20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17.25" x14ac:dyDescent="0.15">
      <c r="A205" s="19"/>
      <c r="B205" s="19"/>
      <c r="C205" s="20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17.25" x14ac:dyDescent="0.15">
      <c r="A206" s="19"/>
      <c r="B206" s="19"/>
      <c r="C206" s="20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17.25" x14ac:dyDescent="0.15">
      <c r="A207" s="19"/>
      <c r="B207" s="19"/>
      <c r="C207" s="20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17.25" x14ac:dyDescent="0.15">
      <c r="A208" s="19"/>
      <c r="B208" s="19"/>
      <c r="C208" s="20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ht="17.25" x14ac:dyDescent="0.15">
      <c r="A209" s="19"/>
      <c r="B209" s="19"/>
      <c r="C209" s="20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17.25" x14ac:dyDescent="0.15">
      <c r="A210" s="19"/>
      <c r="B210" s="19"/>
      <c r="C210" s="20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7.25" x14ac:dyDescent="0.1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17.25" x14ac:dyDescent="0.15">
      <c r="A212" s="19"/>
      <c r="B212" s="19"/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17.25" x14ac:dyDescent="0.15">
      <c r="A213" s="19"/>
      <c r="B213" s="19"/>
      <c r="C213" s="20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17.25" x14ac:dyDescent="0.15">
      <c r="A214" s="19"/>
      <c r="B214" s="19"/>
      <c r="C214" s="20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17.25" x14ac:dyDescent="0.15">
      <c r="A215" s="19"/>
      <c r="B215" s="19"/>
      <c r="C215" s="20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17.25" x14ac:dyDescent="0.15">
      <c r="A216" s="19"/>
      <c r="B216" s="19"/>
      <c r="C216" s="20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ht="17.25" x14ac:dyDescent="0.15">
      <c r="A217" s="19"/>
      <c r="B217" s="19"/>
      <c r="C217" s="20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17.25" x14ac:dyDescent="0.15">
      <c r="A218" s="19"/>
      <c r="B218" s="19"/>
      <c r="C218" s="20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17.25" x14ac:dyDescent="0.15">
      <c r="A219" s="19"/>
      <c r="B219" s="19"/>
      <c r="C219" s="20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17.25" x14ac:dyDescent="0.15">
      <c r="A220" s="19"/>
      <c r="B220" s="19"/>
      <c r="C220" s="20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17.25" x14ac:dyDescent="0.15">
      <c r="A221" s="19"/>
      <c r="B221" s="19"/>
      <c r="C221" s="20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ht="17.25" x14ac:dyDescent="0.15">
      <c r="A222" s="19"/>
      <c r="B222" s="19"/>
      <c r="C222" s="20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ht="17.25" x14ac:dyDescent="0.15">
      <c r="A223" s="19"/>
      <c r="B223" s="19"/>
      <c r="C223" s="20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ht="17.25" x14ac:dyDescent="0.15">
      <c r="A224" s="19"/>
      <c r="B224" s="19"/>
      <c r="C224" s="20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17.25" x14ac:dyDescent="0.15">
      <c r="A225" s="19"/>
      <c r="B225" s="19"/>
      <c r="C225" s="20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ht="17.25" x14ac:dyDescent="0.15">
      <c r="A226" s="19"/>
      <c r="B226" s="19"/>
      <c r="C226" s="20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ht="17.25" x14ac:dyDescent="0.15">
      <c r="A227" s="19"/>
      <c r="B227" s="19"/>
      <c r="C227" s="20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ht="17.25" x14ac:dyDescent="0.15">
      <c r="A228" s="19"/>
      <c r="B228" s="19"/>
      <c r="C228" s="20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17.25" x14ac:dyDescent="0.15">
      <c r="A229" s="19"/>
      <c r="B229" s="19"/>
      <c r="C229" s="20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17.25" x14ac:dyDescent="0.15">
      <c r="A230" s="19"/>
      <c r="B230" s="19"/>
      <c r="C230" s="20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ht="17.25" x14ac:dyDescent="0.15">
      <c r="A231" s="19"/>
      <c r="B231" s="19"/>
      <c r="C231" s="20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ht="17.25" x14ac:dyDescent="0.15">
      <c r="A232" s="19"/>
      <c r="B232" s="19"/>
      <c r="C232" s="20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ht="17.25" x14ac:dyDescent="0.15">
      <c r="A233" s="19"/>
      <c r="B233" s="19"/>
      <c r="C233" s="20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17.25" x14ac:dyDescent="0.15">
      <c r="A234" s="19"/>
      <c r="B234" s="19"/>
      <c r="C234" s="20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ht="17.25" x14ac:dyDescent="0.15">
      <c r="A235" s="19"/>
      <c r="B235" s="19"/>
      <c r="C235" s="20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ht="17.25" x14ac:dyDescent="0.15">
      <c r="A236" s="19"/>
      <c r="B236" s="19"/>
      <c r="C236" s="20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17.25" x14ac:dyDescent="0.15">
      <c r="A237" s="19"/>
      <c r="B237" s="19"/>
      <c r="C237" s="20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ht="17.25" x14ac:dyDescent="0.15">
      <c r="A238" s="19"/>
      <c r="B238" s="19"/>
      <c r="C238" s="20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ht="17.25" x14ac:dyDescent="0.15">
      <c r="A239" s="19"/>
      <c r="B239" s="19"/>
      <c r="C239" s="20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ht="17.25" x14ac:dyDescent="0.15">
      <c r="A240" s="19"/>
      <c r="B240" s="19"/>
      <c r="C240" s="20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ht="17.25" x14ac:dyDescent="0.15">
      <c r="A241" s="19"/>
      <c r="B241" s="19"/>
      <c r="C241" s="20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ht="17.25" x14ac:dyDescent="0.15">
      <c r="A242" s="19"/>
      <c r="B242" s="19"/>
      <c r="C242" s="20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17.25" x14ac:dyDescent="0.15">
      <c r="A243" s="19"/>
      <c r="B243" s="19"/>
      <c r="C243" s="20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ht="17.25" x14ac:dyDescent="0.15">
      <c r="A244" s="19"/>
      <c r="B244" s="19"/>
      <c r="C244" s="20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ht="17.25" x14ac:dyDescent="0.15">
      <c r="A245" s="19"/>
      <c r="B245" s="19"/>
      <c r="C245" s="20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ht="17.25" x14ac:dyDescent="0.15">
      <c r="A246" s="19"/>
      <c r="B246" s="19"/>
      <c r="C246" s="20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ht="17.25" x14ac:dyDescent="0.15">
      <c r="A247" s="19"/>
      <c r="B247" s="19"/>
      <c r="C247" s="20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ht="17.25" x14ac:dyDescent="0.15">
      <c r="A248" s="19"/>
      <c r="B248" s="19"/>
      <c r="C248" s="20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17.25" x14ac:dyDescent="0.15">
      <c r="A249" s="19"/>
      <c r="B249" s="19"/>
      <c r="C249" s="20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ht="17.25" x14ac:dyDescent="0.15">
      <c r="A250" s="19"/>
      <c r="B250" s="19"/>
      <c r="C250" s="20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ht="17.25" x14ac:dyDescent="0.15">
      <c r="A251" s="19"/>
      <c r="B251" s="19"/>
      <c r="C251" s="20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ht="17.25" x14ac:dyDescent="0.15">
      <c r="A252" s="19"/>
      <c r="B252" s="19"/>
      <c r="C252" s="20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ht="17.25" x14ac:dyDescent="0.15">
      <c r="A253" s="19"/>
      <c r="B253" s="19"/>
      <c r="C253" s="20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ht="17.25" x14ac:dyDescent="0.15">
      <c r="A254" s="19"/>
      <c r="B254" s="19"/>
      <c r="C254" s="20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ht="17.25" x14ac:dyDescent="0.15">
      <c r="A255" s="19"/>
      <c r="B255" s="19"/>
      <c r="C255" s="20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ht="17.25" x14ac:dyDescent="0.15">
      <c r="A256" s="19"/>
      <c r="B256" s="19"/>
      <c r="C256" s="20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ht="17.25" x14ac:dyDescent="0.15">
      <c r="A257" s="19"/>
      <c r="B257" s="19"/>
      <c r="C257" s="20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ht="17.25" x14ac:dyDescent="0.15">
      <c r="A258" s="19"/>
      <c r="B258" s="19"/>
      <c r="C258" s="20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ht="17.25" x14ac:dyDescent="0.15">
      <c r="A259" s="19"/>
      <c r="B259" s="19"/>
      <c r="C259" s="20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17.25" x14ac:dyDescent="0.15">
      <c r="A260" s="19"/>
      <c r="B260" s="19"/>
      <c r="C260" s="20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ht="17.25" x14ac:dyDescent="0.15">
      <c r="A261" s="19"/>
      <c r="B261" s="19"/>
      <c r="C261" s="20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ht="17.25" x14ac:dyDescent="0.15">
      <c r="A262" s="19"/>
      <c r="B262" s="19"/>
      <c r="C262" s="20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ht="17.25" x14ac:dyDescent="0.15">
      <c r="A263" s="19"/>
      <c r="B263" s="19"/>
      <c r="C263" s="20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17.25" x14ac:dyDescent="0.1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ht="17.25" x14ac:dyDescent="0.15">
      <c r="A265" s="19"/>
      <c r="B265" s="19"/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ht="17.25" x14ac:dyDescent="0.15">
      <c r="A266" s="19"/>
      <c r="B266" s="19"/>
      <c r="C266" s="20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ht="17.25" x14ac:dyDescent="0.15">
      <c r="A267" s="19"/>
      <c r="B267" s="19"/>
      <c r="C267" s="20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17.25" x14ac:dyDescent="0.15">
      <c r="A268" s="19"/>
      <c r="B268" s="19"/>
      <c r="C268" s="20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ht="17.25" x14ac:dyDescent="0.15">
      <c r="A269" s="19"/>
      <c r="B269" s="19"/>
      <c r="C269" s="20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ht="17.25" x14ac:dyDescent="0.15">
      <c r="A270" s="19"/>
      <c r="B270" s="19"/>
      <c r="C270" s="20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ht="17.25" x14ac:dyDescent="0.15">
      <c r="A271" s="19"/>
      <c r="B271" s="19"/>
      <c r="C271" s="20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ht="17.25" x14ac:dyDescent="0.15">
      <c r="A272" s="19"/>
      <c r="B272" s="19"/>
      <c r="C272" s="20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ht="17.25" x14ac:dyDescent="0.15">
      <c r="A273" s="19"/>
      <c r="B273" s="19"/>
      <c r="C273" s="20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ht="17.25" x14ac:dyDescent="0.15">
      <c r="A274" s="19"/>
      <c r="B274" s="19"/>
      <c r="C274" s="20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ht="17.25" x14ac:dyDescent="0.15">
      <c r="A275" s="19"/>
      <c r="B275" s="19"/>
      <c r="C275" s="20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ht="17.25" x14ac:dyDescent="0.15">
      <c r="A276" s="19"/>
      <c r="B276" s="19"/>
      <c r="C276" s="20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ht="17.25" x14ac:dyDescent="0.15">
      <c r="A277" s="19"/>
      <c r="B277" s="19"/>
      <c r="C277" s="20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ht="17.25" x14ac:dyDescent="0.15">
      <c r="A278" s="19"/>
      <c r="B278" s="19"/>
      <c r="C278" s="20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ht="17.25" x14ac:dyDescent="0.15">
      <c r="A279" s="19"/>
      <c r="B279" s="19"/>
      <c r="C279" s="20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17.25" x14ac:dyDescent="0.15">
      <c r="A280" s="19"/>
      <c r="B280" s="19"/>
      <c r="C280" s="20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ht="17.25" x14ac:dyDescent="0.15">
      <c r="A281" s="19"/>
      <c r="B281" s="19"/>
      <c r="C281" s="20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ht="17.25" x14ac:dyDescent="0.15">
      <c r="A282" s="19"/>
      <c r="B282" s="19"/>
      <c r="C282" s="20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ht="17.25" x14ac:dyDescent="0.15">
      <c r="A283" s="19"/>
      <c r="B283" s="19"/>
      <c r="C283" s="20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ht="17.25" x14ac:dyDescent="0.15">
      <c r="A284" s="19"/>
      <c r="B284" s="19"/>
      <c r="C284" s="20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ht="17.25" x14ac:dyDescent="0.15">
      <c r="A285" s="19"/>
      <c r="B285" s="19"/>
      <c r="C285" s="20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ht="17.25" x14ac:dyDescent="0.15">
      <c r="A286" s="19"/>
      <c r="B286" s="19"/>
      <c r="C286" s="20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ht="17.25" x14ac:dyDescent="0.15">
      <c r="A287" s="19"/>
      <c r="B287" s="19"/>
      <c r="C287" s="20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ht="17.25" x14ac:dyDescent="0.15">
      <c r="A288" s="19"/>
      <c r="B288" s="19"/>
      <c r="C288" s="20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ht="17.25" x14ac:dyDescent="0.15">
      <c r="A289" s="19"/>
      <c r="B289" s="19"/>
      <c r="C289" s="20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ht="17.25" x14ac:dyDescent="0.15">
      <c r="A290" s="19"/>
      <c r="B290" s="19"/>
      <c r="C290" s="20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ht="17.25" x14ac:dyDescent="0.15">
      <c r="A291" s="19"/>
      <c r="B291" s="19"/>
      <c r="C291" s="20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ht="17.25" x14ac:dyDescent="0.15">
      <c r="A292" s="19"/>
      <c r="B292" s="19"/>
      <c r="C292" s="20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ht="17.25" x14ac:dyDescent="0.15">
      <c r="A293" s="19"/>
      <c r="B293" s="19"/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ht="17.25" x14ac:dyDescent="0.15">
      <c r="A294" s="19"/>
      <c r="B294" s="19"/>
      <c r="C294" s="20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ht="17.25" x14ac:dyDescent="0.15">
      <c r="A295" s="19"/>
      <c r="B295" s="19"/>
      <c r="C295" s="2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ht="17.25" x14ac:dyDescent="0.15">
      <c r="A296" s="19"/>
      <c r="B296" s="19"/>
      <c r="C296" s="20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17.25" x14ac:dyDescent="0.15">
      <c r="A297" s="19"/>
      <c r="B297" s="19"/>
      <c r="C297" s="20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ht="17.25" x14ac:dyDescent="0.15">
      <c r="A298" s="19"/>
      <c r="B298" s="19"/>
      <c r="C298" s="20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ht="17.25" x14ac:dyDescent="0.15">
      <c r="A299" s="19"/>
      <c r="B299" s="19"/>
      <c r="C299" s="2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ht="17.25" x14ac:dyDescent="0.15">
      <c r="A300" s="19"/>
      <c r="B300" s="19"/>
      <c r="C300" s="20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ht="17.25" x14ac:dyDescent="0.15">
      <c r="A301" s="19"/>
      <c r="B301" s="19"/>
      <c r="C301" s="20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ht="17.25" x14ac:dyDescent="0.15">
      <c r="A302" s="19"/>
      <c r="B302" s="19"/>
      <c r="C302" s="20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ht="17.25" x14ac:dyDescent="0.15">
      <c r="A303" s="19"/>
      <c r="B303" s="19"/>
      <c r="C303" s="20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ht="17.25" x14ac:dyDescent="0.15">
      <c r="A304" s="19"/>
      <c r="B304" s="19"/>
      <c r="C304" s="20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ht="17.25" x14ac:dyDescent="0.15">
      <c r="A305" s="19"/>
      <c r="B305" s="19"/>
      <c r="C305" s="20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ht="17.25" x14ac:dyDescent="0.15">
      <c r="A306" s="19"/>
      <c r="B306" s="19"/>
      <c r="C306" s="20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ht="17.25" x14ac:dyDescent="0.15">
      <c r="A307" s="19"/>
      <c r="B307" s="19"/>
      <c r="C307" s="2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ht="17.25" x14ac:dyDescent="0.15">
      <c r="A308" s="19"/>
      <c r="B308" s="19"/>
      <c r="C308" s="20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ht="17.25" x14ac:dyDescent="0.15">
      <c r="A309" s="19"/>
      <c r="B309" s="19"/>
      <c r="C309" s="20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ht="17.25" x14ac:dyDescent="0.15">
      <c r="A310" s="19"/>
      <c r="B310" s="19"/>
      <c r="C310" s="20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ht="17.25" x14ac:dyDescent="0.15">
      <c r="A311" s="19"/>
      <c r="B311" s="19"/>
      <c r="C311" s="20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ht="17.25" x14ac:dyDescent="0.15">
      <c r="A312" s="19"/>
      <c r="B312" s="19"/>
      <c r="C312" s="20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 ht="17.25" x14ac:dyDescent="0.15">
      <c r="A313" s="19"/>
      <c r="B313" s="19"/>
      <c r="C313" s="2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 ht="17.25" x14ac:dyDescent="0.15">
      <c r="A314" s="19"/>
      <c r="B314" s="19"/>
      <c r="C314" s="20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 ht="17.25" x14ac:dyDescent="0.15">
      <c r="A315" s="19"/>
      <c r="B315" s="19"/>
      <c r="C315" s="20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ht="17.25" x14ac:dyDescent="0.15">
      <c r="A316" s="19"/>
      <c r="B316" s="19"/>
      <c r="C316" s="20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ht="17.25" x14ac:dyDescent="0.1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ht="17.25" x14ac:dyDescent="0.15">
      <c r="A318" s="19"/>
      <c r="B318" s="19"/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7.25" x14ac:dyDescent="0.15">
      <c r="A319" s="19"/>
      <c r="B319" s="19"/>
      <c r="C319" s="20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ht="17.25" x14ac:dyDescent="0.15">
      <c r="A320" s="19"/>
      <c r="B320" s="19"/>
      <c r="C320" s="20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 ht="17.25" x14ac:dyDescent="0.15">
      <c r="A321" s="19"/>
      <c r="B321" s="19"/>
      <c r="C321" s="20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ht="17.25" x14ac:dyDescent="0.15">
      <c r="A322" s="19"/>
      <c r="B322" s="19"/>
      <c r="C322" s="20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 ht="17.25" x14ac:dyDescent="0.15">
      <c r="A323" s="19"/>
      <c r="B323" s="19"/>
      <c r="C323" s="20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ht="17.25" x14ac:dyDescent="0.15">
      <c r="A324" s="19"/>
      <c r="B324" s="19"/>
      <c r="C324" s="20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 ht="17.25" x14ac:dyDescent="0.15">
      <c r="A325" s="19"/>
      <c r="B325" s="19"/>
      <c r="C325" s="20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17.25" x14ac:dyDescent="0.15">
      <c r="A326" s="19"/>
      <c r="B326" s="19"/>
      <c r="C326" s="20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ht="17.25" x14ac:dyDescent="0.15">
      <c r="A327" s="19"/>
      <c r="B327" s="19"/>
      <c r="C327" s="20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ht="17.25" x14ac:dyDescent="0.15">
      <c r="A328" s="19"/>
      <c r="B328" s="19"/>
      <c r="C328" s="20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ht="17.25" x14ac:dyDescent="0.15">
      <c r="A329" s="19"/>
      <c r="B329" s="19"/>
      <c r="C329" s="20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ht="17.25" x14ac:dyDescent="0.15">
      <c r="A330" s="19"/>
      <c r="B330" s="19"/>
      <c r="C330" s="20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ht="17.25" x14ac:dyDescent="0.15">
      <c r="A331" s="19"/>
      <c r="B331" s="19"/>
      <c r="C331" s="20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ht="17.25" x14ac:dyDescent="0.15">
      <c r="A332" s="19"/>
      <c r="B332" s="19"/>
      <c r="C332" s="20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ht="17.25" x14ac:dyDescent="0.15">
      <c r="A333" s="19"/>
      <c r="B333" s="19"/>
      <c r="C333" s="20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ht="17.25" x14ac:dyDescent="0.15">
      <c r="A334" s="19"/>
      <c r="B334" s="19"/>
      <c r="C334" s="20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ht="17.25" x14ac:dyDescent="0.15">
      <c r="A335" s="19"/>
      <c r="B335" s="19"/>
      <c r="C335" s="20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ht="17.25" x14ac:dyDescent="0.15">
      <c r="A336" s="19"/>
      <c r="B336" s="19"/>
      <c r="C336" s="20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ht="17.25" x14ac:dyDescent="0.15">
      <c r="A337" s="19"/>
      <c r="B337" s="19"/>
      <c r="C337" s="20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ht="17.25" x14ac:dyDescent="0.15">
      <c r="A338" s="19"/>
      <c r="B338" s="19"/>
      <c r="C338" s="20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ht="17.25" x14ac:dyDescent="0.15">
      <c r="A339" s="19"/>
      <c r="B339" s="19"/>
      <c r="C339" s="20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ht="17.25" x14ac:dyDescent="0.15">
      <c r="A340" s="19"/>
      <c r="B340" s="19"/>
      <c r="C340" s="20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ht="17.25" x14ac:dyDescent="0.15">
      <c r="A341" s="19"/>
      <c r="B341" s="19"/>
      <c r="C341" s="20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17.25" x14ac:dyDescent="0.15">
      <c r="A342" s="19"/>
      <c r="B342" s="19"/>
      <c r="C342" s="20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ht="17.25" x14ac:dyDescent="0.15">
      <c r="A343" s="19"/>
      <c r="B343" s="19"/>
      <c r="C343" s="20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ht="17.25" x14ac:dyDescent="0.15">
      <c r="A344" s="19"/>
      <c r="B344" s="19"/>
      <c r="C344" s="20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ht="17.25" x14ac:dyDescent="0.15">
      <c r="A345" s="19"/>
      <c r="B345" s="19"/>
      <c r="C345" s="20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ht="17.25" x14ac:dyDescent="0.15">
      <c r="A346" s="19"/>
      <c r="B346" s="19"/>
      <c r="C346" s="20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ht="17.25" x14ac:dyDescent="0.15">
      <c r="A347" s="19"/>
      <c r="B347" s="19"/>
      <c r="C347" s="20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ht="17.25" x14ac:dyDescent="0.15">
      <c r="A348" s="19"/>
      <c r="B348" s="19"/>
      <c r="C348" s="20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ht="17.25" x14ac:dyDescent="0.15">
      <c r="A349" s="19"/>
      <c r="B349" s="19"/>
      <c r="C349" s="20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ht="17.25" x14ac:dyDescent="0.15">
      <c r="A350" s="19"/>
      <c r="B350" s="19"/>
      <c r="C350" s="20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ht="17.25" x14ac:dyDescent="0.15">
      <c r="A351" s="19"/>
      <c r="B351" s="19"/>
      <c r="C351" s="20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 ht="17.25" x14ac:dyDescent="0.15">
      <c r="A352" s="19"/>
      <c r="B352" s="19"/>
      <c r="C352" s="20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ht="17.25" x14ac:dyDescent="0.15">
      <c r="A353" s="19"/>
      <c r="B353" s="19"/>
      <c r="C353" s="20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ht="17.25" x14ac:dyDescent="0.15">
      <c r="A354" s="19"/>
      <c r="B354" s="19"/>
      <c r="C354" s="20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ht="17.25" x14ac:dyDescent="0.15">
      <c r="A355" s="19"/>
      <c r="B355" s="19"/>
      <c r="C355" s="20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ht="17.25" x14ac:dyDescent="0.15">
      <c r="A356" s="19"/>
      <c r="B356" s="19"/>
      <c r="C356" s="20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ht="17.25" x14ac:dyDescent="0.15">
      <c r="A357" s="19"/>
      <c r="B357" s="19"/>
      <c r="C357" s="20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ht="17.25" x14ac:dyDescent="0.15">
      <c r="A358" s="19"/>
      <c r="B358" s="19"/>
      <c r="C358" s="20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ht="17.25" x14ac:dyDescent="0.15">
      <c r="A359" s="19"/>
      <c r="B359" s="19"/>
      <c r="C359" s="20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ht="17.25" x14ac:dyDescent="0.15">
      <c r="A360" s="19"/>
      <c r="B360" s="19"/>
      <c r="C360" s="20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ht="17.25" x14ac:dyDescent="0.15">
      <c r="A361" s="19"/>
      <c r="B361" s="19"/>
      <c r="C361" s="20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ht="17.25" x14ac:dyDescent="0.15">
      <c r="A362" s="19"/>
      <c r="B362" s="19"/>
      <c r="C362" s="20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ht="17.25" x14ac:dyDescent="0.15">
      <c r="A363" s="19"/>
      <c r="B363" s="19"/>
      <c r="C363" s="20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ht="17.25" x14ac:dyDescent="0.15">
      <c r="A364" s="19"/>
      <c r="B364" s="19"/>
      <c r="C364" s="20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ht="17.25" x14ac:dyDescent="0.15">
      <c r="A365" s="19"/>
      <c r="B365" s="19"/>
      <c r="C365" s="20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ht="17.25" x14ac:dyDescent="0.15">
      <c r="A366" s="19"/>
      <c r="B366" s="19"/>
      <c r="C366" s="20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ht="17.25" x14ac:dyDescent="0.15">
      <c r="A367" s="19"/>
      <c r="B367" s="19"/>
      <c r="C367" s="20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ht="17.25" x14ac:dyDescent="0.15">
      <c r="A368" s="19"/>
      <c r="B368" s="19"/>
      <c r="C368" s="20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ht="17.25" x14ac:dyDescent="0.15">
      <c r="A369" s="19"/>
      <c r="B369" s="19"/>
      <c r="C369" s="20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ht="17.25" x14ac:dyDescent="0.1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ht="17.25" x14ac:dyDescent="0.15">
      <c r="A371" s="19"/>
      <c r="B371" s="19"/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ht="17.25" x14ac:dyDescent="0.15">
      <c r="A372" s="19"/>
      <c r="B372" s="19"/>
      <c r="C372" s="20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ht="17.25" x14ac:dyDescent="0.15">
      <c r="A373" s="19"/>
      <c r="B373" s="19"/>
      <c r="C373" s="20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 ht="17.25" x14ac:dyDescent="0.15">
      <c r="A374" s="19"/>
      <c r="B374" s="19"/>
      <c r="C374" s="20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 ht="17.25" x14ac:dyDescent="0.15">
      <c r="A375" s="19"/>
      <c r="B375" s="19"/>
      <c r="C375" s="2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 ht="17.25" x14ac:dyDescent="0.15">
      <c r="A376" s="19"/>
      <c r="B376" s="19"/>
      <c r="C376" s="20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1:20" ht="17.25" x14ac:dyDescent="0.15">
      <c r="A377" s="19"/>
      <c r="B377" s="19"/>
      <c r="C377" s="20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 ht="17.25" x14ac:dyDescent="0.15">
      <c r="A378" s="19"/>
      <c r="B378" s="19"/>
      <c r="C378" s="20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 ht="17.25" x14ac:dyDescent="0.15">
      <c r="A379" s="19"/>
      <c r="B379" s="19"/>
      <c r="C379" s="2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ht="17.25" x14ac:dyDescent="0.15">
      <c r="A380" s="19"/>
      <c r="B380" s="19"/>
      <c r="C380" s="20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ht="17.25" x14ac:dyDescent="0.15">
      <c r="A381" s="19"/>
      <c r="B381" s="19"/>
      <c r="C381" s="20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ht="17.25" x14ac:dyDescent="0.15">
      <c r="A382" s="19"/>
      <c r="B382" s="19"/>
      <c r="C382" s="2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 ht="17.25" x14ac:dyDescent="0.15">
      <c r="A383" s="19"/>
      <c r="B383" s="19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ht="17.25" x14ac:dyDescent="0.15">
      <c r="A384" s="19"/>
      <c r="B384" s="19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 ht="17.25" x14ac:dyDescent="0.15">
      <c r="A385" s="19"/>
      <c r="B385" s="19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 ht="17.25" x14ac:dyDescent="0.15">
      <c r="A386" s="19"/>
      <c r="B386" s="19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 ht="17.25" x14ac:dyDescent="0.15">
      <c r="A387" s="19"/>
      <c r="B387" s="19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 ht="17.25" x14ac:dyDescent="0.15">
      <c r="A388" s="19"/>
      <c r="B388" s="19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ht="17.25" x14ac:dyDescent="0.15">
      <c r="A389" s="19"/>
      <c r="B389" s="19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ht="17.25" x14ac:dyDescent="0.15">
      <c r="A390" s="19"/>
      <c r="B390" s="19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ht="17.25" x14ac:dyDescent="0.15">
      <c r="A391" s="19"/>
      <c r="B391" s="19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 ht="17.25" x14ac:dyDescent="0.15">
      <c r="A392" s="19"/>
      <c r="B392" s="19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ht="17.25" x14ac:dyDescent="0.15">
      <c r="A393" s="19"/>
      <c r="B393" s="19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ht="17.25" x14ac:dyDescent="0.15">
      <c r="A394" s="19"/>
      <c r="B394" s="19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ht="17.25" x14ac:dyDescent="0.15">
      <c r="A395" s="19"/>
      <c r="B395" s="19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 ht="17.25" x14ac:dyDescent="0.15">
      <c r="A396" s="19"/>
      <c r="B396" s="19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 ht="17.25" x14ac:dyDescent="0.15">
      <c r="A397" s="19"/>
      <c r="B397" s="19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ht="17.25" x14ac:dyDescent="0.15">
      <c r="A398" s="19"/>
      <c r="B398" s="19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ht="17.25" x14ac:dyDescent="0.15">
      <c r="A399" s="19"/>
      <c r="B399" s="19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 ht="17.25" x14ac:dyDescent="0.15">
      <c r="A400" s="19"/>
      <c r="B400" s="19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ht="17.25" x14ac:dyDescent="0.15">
      <c r="A401" s="19"/>
      <c r="B401" s="19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 ht="17.25" x14ac:dyDescent="0.15">
      <c r="A402" s="19"/>
      <c r="B402" s="19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ht="17.25" x14ac:dyDescent="0.15">
      <c r="A403" s="19"/>
      <c r="B403" s="19"/>
      <c r="C403" s="2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ht="17.25" x14ac:dyDescent="0.15">
      <c r="A404" s="19"/>
      <c r="B404" s="19"/>
      <c r="C404" s="20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ht="17.25" x14ac:dyDescent="0.15">
      <c r="A405" s="19"/>
      <c r="B405" s="19"/>
      <c r="C405" s="20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ht="17.25" x14ac:dyDescent="0.15">
      <c r="A406" s="19"/>
      <c r="B406" s="19"/>
      <c r="C406" s="20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ht="17.25" x14ac:dyDescent="0.15">
      <c r="A407" s="19"/>
      <c r="B407" s="19"/>
      <c r="C407" s="20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 ht="17.25" x14ac:dyDescent="0.15">
      <c r="A408" s="19"/>
      <c r="B408" s="19"/>
      <c r="C408" s="20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ht="17.25" x14ac:dyDescent="0.15">
      <c r="A409" s="19"/>
      <c r="B409" s="19"/>
      <c r="C409" s="20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ht="17.25" x14ac:dyDescent="0.15">
      <c r="A410" s="19"/>
      <c r="B410" s="19"/>
      <c r="C410" s="20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 ht="17.25" x14ac:dyDescent="0.15">
      <c r="A411" s="19"/>
      <c r="B411" s="19"/>
      <c r="C411" s="20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 ht="17.25" x14ac:dyDescent="0.15">
      <c r="A412" s="19"/>
      <c r="B412" s="19"/>
      <c r="C412" s="20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 ht="17.25" x14ac:dyDescent="0.15">
      <c r="A413" s="19"/>
      <c r="B413" s="19"/>
      <c r="C413" s="20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ht="17.25" x14ac:dyDescent="0.15">
      <c r="A414" s="19"/>
      <c r="B414" s="19"/>
      <c r="C414" s="20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 ht="17.25" x14ac:dyDescent="0.15">
      <c r="A415" s="19"/>
      <c r="B415" s="19"/>
      <c r="C415" s="20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ht="17.25" x14ac:dyDescent="0.15">
      <c r="A416" s="19"/>
      <c r="B416" s="19"/>
      <c r="C416" s="20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ht="17.25" x14ac:dyDescent="0.15">
      <c r="A417" s="19"/>
      <c r="B417" s="19"/>
      <c r="C417" s="20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ht="17.25" x14ac:dyDescent="0.15">
      <c r="A418" s="19"/>
      <c r="B418" s="19"/>
      <c r="C418" s="20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ht="17.25" x14ac:dyDescent="0.15">
      <c r="A419" s="19"/>
      <c r="B419" s="19"/>
      <c r="C419" s="20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 ht="17.25" x14ac:dyDescent="0.15">
      <c r="A420" s="19"/>
      <c r="B420" s="19"/>
      <c r="C420" s="20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17.25" x14ac:dyDescent="0.15">
      <c r="A421" s="19"/>
      <c r="B421" s="19"/>
      <c r="C421" s="20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ht="17.25" x14ac:dyDescent="0.15">
      <c r="A422" s="19"/>
      <c r="B422" s="19"/>
      <c r="C422" s="20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ht="17.25" x14ac:dyDescent="0.1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ht="17.25" x14ac:dyDescent="0.15">
      <c r="A424" s="19"/>
      <c r="B424" s="19"/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ht="17.25" x14ac:dyDescent="0.15">
      <c r="A425" s="19"/>
      <c r="B425" s="19"/>
      <c r="C425" s="20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1:20" ht="17.25" x14ac:dyDescent="0.15">
      <c r="A426" s="19"/>
      <c r="B426" s="19"/>
      <c r="C426" s="20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</row>
    <row r="427" spans="1:20" ht="17.25" x14ac:dyDescent="0.15">
      <c r="A427" s="19"/>
      <c r="B427" s="19"/>
      <c r="C427" s="20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1:20" ht="17.25" x14ac:dyDescent="0.15">
      <c r="A428" s="19"/>
      <c r="B428" s="19"/>
      <c r="C428" s="20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1:20" ht="17.25" x14ac:dyDescent="0.15">
      <c r="A429" s="19"/>
      <c r="B429" s="19"/>
      <c r="C429" s="20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1:20" ht="17.25" x14ac:dyDescent="0.15">
      <c r="A430" s="19"/>
      <c r="B430" s="19"/>
      <c r="C430" s="20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1:20" ht="17.25" x14ac:dyDescent="0.15">
      <c r="A431" s="19"/>
      <c r="B431" s="19"/>
      <c r="C431" s="20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ht="17.25" x14ac:dyDescent="0.15">
      <c r="A432" s="19"/>
      <c r="B432" s="19"/>
      <c r="C432" s="20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ht="17.25" x14ac:dyDescent="0.15">
      <c r="A433" s="19"/>
      <c r="B433" s="19"/>
      <c r="C433" s="20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1:20" ht="17.25" x14ac:dyDescent="0.15">
      <c r="A434" s="19"/>
      <c r="B434" s="19"/>
      <c r="C434" s="20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1:20" ht="17.25" x14ac:dyDescent="0.15">
      <c r="A435" s="19"/>
      <c r="B435" s="19"/>
      <c r="C435" s="20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1:20" ht="17.25" x14ac:dyDescent="0.15">
      <c r="A436" s="19"/>
      <c r="B436" s="19"/>
      <c r="C436" s="20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ht="17.25" x14ac:dyDescent="0.15">
      <c r="A437" s="19"/>
      <c r="B437" s="19"/>
      <c r="C437" s="20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1:20" ht="17.25" x14ac:dyDescent="0.15">
      <c r="A438" s="19"/>
      <c r="B438" s="19"/>
      <c r="C438" s="20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1:20" ht="17.25" x14ac:dyDescent="0.15">
      <c r="A439" s="19"/>
      <c r="B439" s="19"/>
      <c r="C439" s="20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1:20" ht="17.25" x14ac:dyDescent="0.15">
      <c r="A440" s="19"/>
      <c r="B440" s="19"/>
      <c r="C440" s="20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1:20" ht="17.25" x14ac:dyDescent="0.15">
      <c r="A441" s="19"/>
      <c r="B441" s="19"/>
      <c r="C441" s="2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ht="17.25" x14ac:dyDescent="0.15">
      <c r="A442" s="19"/>
      <c r="B442" s="19"/>
      <c r="C442" s="20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1:20" ht="17.25" x14ac:dyDescent="0.15">
      <c r="A443" s="19"/>
      <c r="B443" s="19"/>
      <c r="C443" s="20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</row>
    <row r="444" spans="1:20" ht="17.25" x14ac:dyDescent="0.15">
      <c r="A444" s="19"/>
      <c r="B444" s="19"/>
      <c r="C444" s="20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</row>
    <row r="445" spans="1:20" ht="17.25" x14ac:dyDescent="0.15">
      <c r="A445" s="19"/>
      <c r="B445" s="19"/>
      <c r="C445" s="20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1:20" ht="17.25" x14ac:dyDescent="0.15">
      <c r="A446" s="19"/>
      <c r="B446" s="19"/>
      <c r="C446" s="20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ht="17.25" x14ac:dyDescent="0.15">
      <c r="A447" s="19"/>
      <c r="B447" s="19"/>
      <c r="C447" s="20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1:20" ht="17.25" x14ac:dyDescent="0.15">
      <c r="A448" s="19"/>
      <c r="B448" s="19"/>
      <c r="C448" s="20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1:20" ht="17.25" x14ac:dyDescent="0.15">
      <c r="A449" s="19"/>
      <c r="B449" s="19"/>
      <c r="C449" s="20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1:20" ht="17.25" x14ac:dyDescent="0.15">
      <c r="A450" s="19"/>
      <c r="B450" s="19"/>
      <c r="C450" s="20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1:20" ht="17.25" x14ac:dyDescent="0.15">
      <c r="A451" s="19"/>
      <c r="B451" s="19"/>
      <c r="C451" s="20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1:20" ht="17.25" x14ac:dyDescent="0.15">
      <c r="A452" s="19"/>
      <c r="B452" s="19"/>
      <c r="C452" s="20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1:20" ht="17.25" x14ac:dyDescent="0.15">
      <c r="A453" s="19"/>
      <c r="B453" s="19"/>
      <c r="C453" s="20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ht="17.25" x14ac:dyDescent="0.15">
      <c r="A454" s="19"/>
      <c r="B454" s="19"/>
      <c r="C454" s="20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1:20" ht="17.25" x14ac:dyDescent="0.15">
      <c r="A455" s="19"/>
      <c r="B455" s="19"/>
      <c r="C455" s="20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1:20" ht="17.25" x14ac:dyDescent="0.15">
      <c r="A456" s="19"/>
      <c r="B456" s="19"/>
      <c r="C456" s="20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ht="17.25" x14ac:dyDescent="0.15">
      <c r="A457" s="19"/>
      <c r="B457" s="19"/>
      <c r="C457" s="20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</row>
    <row r="458" spans="1:20" ht="17.25" x14ac:dyDescent="0.15">
      <c r="A458" s="19"/>
      <c r="B458" s="19"/>
      <c r="C458" s="20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1:20" ht="17.25" x14ac:dyDescent="0.15">
      <c r="A459" s="19"/>
      <c r="B459" s="19"/>
      <c r="C459" s="20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1:20" ht="17.25" x14ac:dyDescent="0.15">
      <c r="A460" s="19"/>
      <c r="B460" s="19"/>
      <c r="C460" s="20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1:20" ht="17.25" x14ac:dyDescent="0.15">
      <c r="A461" s="19"/>
      <c r="B461" s="19"/>
      <c r="C461" s="20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1:20" ht="17.25" x14ac:dyDescent="0.15">
      <c r="A462" s="19"/>
      <c r="B462" s="19"/>
      <c r="C462" s="20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1:20" ht="17.25" x14ac:dyDescent="0.15">
      <c r="A463" s="19"/>
      <c r="B463" s="19"/>
      <c r="C463" s="20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ht="17.25" x14ac:dyDescent="0.15">
      <c r="A464" s="19"/>
      <c r="B464" s="19"/>
      <c r="C464" s="20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1:20" ht="17.25" x14ac:dyDescent="0.15">
      <c r="A465" s="19"/>
      <c r="B465" s="19"/>
      <c r="C465" s="20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1:20" ht="17.25" x14ac:dyDescent="0.15">
      <c r="A466" s="19"/>
      <c r="B466" s="19"/>
      <c r="C466" s="20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1:20" ht="17.25" x14ac:dyDescent="0.15">
      <c r="A467" s="19"/>
      <c r="B467" s="19"/>
      <c r="C467" s="20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1:20" ht="17.25" x14ac:dyDescent="0.15">
      <c r="A468" s="19"/>
      <c r="B468" s="19"/>
      <c r="C468" s="20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1:20" ht="17.25" x14ac:dyDescent="0.15">
      <c r="A469" s="19"/>
      <c r="B469" s="19"/>
      <c r="C469" s="20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1:20" ht="17.25" x14ac:dyDescent="0.15">
      <c r="A470" s="19"/>
      <c r="B470" s="19"/>
      <c r="C470" s="20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1:20" ht="17.25" x14ac:dyDescent="0.15">
      <c r="A471" s="19"/>
      <c r="B471" s="19"/>
      <c r="C471" s="20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1:20" ht="17.25" x14ac:dyDescent="0.15">
      <c r="A472" s="19"/>
      <c r="B472" s="19"/>
      <c r="C472" s="20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ht="17.25" x14ac:dyDescent="0.15">
      <c r="A473" s="19"/>
      <c r="B473" s="19"/>
      <c r="C473" s="20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ht="17.25" x14ac:dyDescent="0.15">
      <c r="A474" s="19"/>
      <c r="B474" s="19"/>
      <c r="C474" s="20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ht="17.25" x14ac:dyDescent="0.15">
      <c r="A475" s="19"/>
      <c r="B475" s="19"/>
      <c r="C475" s="20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ht="17.25" x14ac:dyDescent="0.1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ht="17.25" x14ac:dyDescent="0.15">
      <c r="A477" s="19"/>
      <c r="B477" s="19"/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7.25" x14ac:dyDescent="0.15">
      <c r="A478" s="19"/>
      <c r="B478" s="19"/>
      <c r="C478" s="20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</row>
    <row r="479" spans="1:20" ht="17.25" x14ac:dyDescent="0.15">
      <c r="A479" s="19"/>
      <c r="B479" s="19"/>
      <c r="C479" s="2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1:20" ht="17.25" x14ac:dyDescent="0.15">
      <c r="A480" s="19"/>
      <c r="B480" s="19"/>
      <c r="C480" s="20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1:20" ht="17.25" x14ac:dyDescent="0.15">
      <c r="A481" s="19"/>
      <c r="B481" s="19"/>
      <c r="C481" s="20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1:20" ht="17.25" x14ac:dyDescent="0.15">
      <c r="A482" s="19"/>
      <c r="B482" s="19"/>
      <c r="C482" s="20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1:20" ht="17.25" x14ac:dyDescent="0.15">
      <c r="A483" s="19"/>
      <c r="B483" s="19"/>
      <c r="C483" s="20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1:20" ht="17.25" x14ac:dyDescent="0.15">
      <c r="A484" s="19"/>
      <c r="B484" s="19"/>
      <c r="C484" s="20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1:20" ht="17.25" x14ac:dyDescent="0.15">
      <c r="A485" s="19"/>
      <c r="B485" s="19"/>
      <c r="C485" s="20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ht="17.25" x14ac:dyDescent="0.15">
      <c r="A486" s="19"/>
      <c r="B486" s="19"/>
      <c r="C486" s="20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ht="17.25" x14ac:dyDescent="0.15">
      <c r="A487" s="19"/>
      <c r="B487" s="19"/>
      <c r="C487" s="20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ht="17.25" x14ac:dyDescent="0.15">
      <c r="A488" s="19"/>
      <c r="B488" s="19"/>
      <c r="C488" s="20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1:20" ht="17.25" x14ac:dyDescent="0.15">
      <c r="A489" s="19"/>
      <c r="B489" s="19"/>
      <c r="C489" s="20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1:20" ht="17.25" x14ac:dyDescent="0.15">
      <c r="A490" s="19"/>
      <c r="B490" s="19"/>
      <c r="C490" s="20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1:20" ht="17.25" x14ac:dyDescent="0.15">
      <c r="A491" s="19"/>
      <c r="B491" s="19"/>
      <c r="C491" s="20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1:20" ht="17.25" x14ac:dyDescent="0.15">
      <c r="A492" s="19"/>
      <c r="B492" s="19"/>
      <c r="C492" s="20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ht="17.25" x14ac:dyDescent="0.15">
      <c r="A493" s="19"/>
      <c r="B493" s="19"/>
      <c r="C493" s="20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1:20" ht="17.25" x14ac:dyDescent="0.15">
      <c r="A494" s="19"/>
      <c r="B494" s="19"/>
      <c r="C494" s="20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1:20" ht="17.25" x14ac:dyDescent="0.15">
      <c r="A495" s="19"/>
      <c r="B495" s="19"/>
      <c r="C495" s="20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1:20" ht="17.25" x14ac:dyDescent="0.15">
      <c r="A496" s="19"/>
      <c r="B496" s="19"/>
      <c r="C496" s="20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1:20" ht="17.25" x14ac:dyDescent="0.15">
      <c r="A497" s="19"/>
      <c r="B497" s="19"/>
      <c r="C497" s="20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1:20" ht="17.25" x14ac:dyDescent="0.15">
      <c r="A498" s="19"/>
      <c r="B498" s="19"/>
      <c r="C498" s="20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</row>
    <row r="499" spans="1:20" ht="17.25" x14ac:dyDescent="0.15">
      <c r="A499" s="19"/>
      <c r="B499" s="19"/>
      <c r="C499" s="20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1:20" ht="17.25" x14ac:dyDescent="0.15">
      <c r="A500" s="19"/>
      <c r="B500" s="19"/>
      <c r="C500" s="20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ht="17.25" x14ac:dyDescent="0.15">
      <c r="A501" s="19"/>
      <c r="B501" s="19"/>
      <c r="C501" s="20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spans="1:20" ht="17.25" x14ac:dyDescent="0.15">
      <c r="A502" s="19"/>
      <c r="B502" s="19"/>
      <c r="C502" s="20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</row>
    <row r="503" spans="1:20" ht="17.25" x14ac:dyDescent="0.15">
      <c r="A503" s="19"/>
      <c r="B503" s="19"/>
      <c r="C503" s="20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</row>
    <row r="504" spans="1:20" ht="17.25" x14ac:dyDescent="0.15">
      <c r="A504" s="19"/>
      <c r="B504" s="19"/>
      <c r="C504" s="20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</row>
    <row r="505" spans="1:20" ht="17.25" x14ac:dyDescent="0.15">
      <c r="A505" s="19"/>
      <c r="B505" s="19"/>
      <c r="C505" s="20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</row>
    <row r="506" spans="1:20" ht="17.25" x14ac:dyDescent="0.15">
      <c r="A506" s="19"/>
      <c r="B506" s="19"/>
      <c r="C506" s="20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</row>
    <row r="507" spans="1:20" ht="17.25" x14ac:dyDescent="0.15">
      <c r="A507" s="19"/>
      <c r="B507" s="19"/>
      <c r="C507" s="20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</row>
    <row r="508" spans="1:20" ht="17.25" x14ac:dyDescent="0.15">
      <c r="A508" s="19"/>
      <c r="B508" s="19"/>
      <c r="C508" s="20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</row>
    <row r="509" spans="1:20" ht="17.25" x14ac:dyDescent="0.15">
      <c r="A509" s="19"/>
      <c r="B509" s="19"/>
      <c r="C509" s="20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</row>
    <row r="510" spans="1:20" ht="17.25" x14ac:dyDescent="0.15">
      <c r="A510" s="19"/>
      <c r="B510" s="19"/>
      <c r="C510" s="20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</row>
    <row r="511" spans="1:20" ht="17.25" x14ac:dyDescent="0.15">
      <c r="A511" s="19"/>
      <c r="B511" s="19"/>
      <c r="C511" s="20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</row>
    <row r="512" spans="1:20" ht="17.25" x14ac:dyDescent="0.15">
      <c r="A512" s="19"/>
      <c r="B512" s="19"/>
      <c r="C512" s="20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</row>
    <row r="513" spans="1:20" ht="17.25" x14ac:dyDescent="0.15">
      <c r="A513" s="19"/>
      <c r="B513" s="19"/>
      <c r="C513" s="20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</row>
    <row r="514" spans="1:20" ht="17.25" x14ac:dyDescent="0.15">
      <c r="A514" s="19"/>
      <c r="B514" s="19"/>
      <c r="C514" s="20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ht="17.25" x14ac:dyDescent="0.15">
      <c r="A515" s="19"/>
      <c r="B515" s="19"/>
      <c r="C515" s="20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</row>
    <row r="516" spans="1:20" ht="17.25" x14ac:dyDescent="0.15">
      <c r="A516" s="19"/>
      <c r="B516" s="19"/>
      <c r="C516" s="20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</row>
    <row r="517" spans="1:20" ht="17.25" x14ac:dyDescent="0.15">
      <c r="A517" s="19"/>
      <c r="B517" s="19"/>
      <c r="C517" s="20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</row>
    <row r="518" spans="1:20" ht="17.25" x14ac:dyDescent="0.15">
      <c r="A518" s="19"/>
      <c r="B518" s="19"/>
      <c r="C518" s="20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</row>
    <row r="519" spans="1:20" ht="17.25" x14ac:dyDescent="0.15">
      <c r="A519" s="19"/>
      <c r="B519" s="19"/>
      <c r="C519" s="2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</row>
    <row r="520" spans="1:20" ht="17.25" x14ac:dyDescent="0.15">
      <c r="A520" s="19"/>
      <c r="B520" s="19"/>
      <c r="C520" s="20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</row>
    <row r="521" spans="1:20" ht="17.25" x14ac:dyDescent="0.15">
      <c r="A521" s="19"/>
      <c r="B521" s="19"/>
      <c r="C521" s="20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</row>
    <row r="522" spans="1:20" ht="17.25" x14ac:dyDescent="0.15">
      <c r="A522" s="19"/>
      <c r="B522" s="19"/>
      <c r="C522" s="20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</row>
    <row r="523" spans="1:20" ht="17.25" x14ac:dyDescent="0.15">
      <c r="A523" s="19"/>
      <c r="B523" s="19"/>
      <c r="C523" s="20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</row>
    <row r="524" spans="1:20" ht="17.25" x14ac:dyDescent="0.15">
      <c r="A524" s="19"/>
      <c r="B524" s="19"/>
      <c r="C524" s="20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</row>
    <row r="525" spans="1:20" ht="17.25" x14ac:dyDescent="0.15">
      <c r="A525" s="19"/>
      <c r="B525" s="19"/>
      <c r="C525" s="20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</row>
    <row r="526" spans="1:20" ht="17.25" x14ac:dyDescent="0.15">
      <c r="A526" s="19"/>
      <c r="B526" s="19"/>
      <c r="C526" s="20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</row>
    <row r="527" spans="1:20" ht="17.25" x14ac:dyDescent="0.15">
      <c r="A527" s="19"/>
      <c r="B527" s="19"/>
      <c r="C527" s="20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ht="17.25" x14ac:dyDescent="0.15">
      <c r="A528" s="19"/>
      <c r="B528" s="19"/>
      <c r="C528" s="20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0" ht="17.25" x14ac:dyDescent="0.1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ht="17.25" x14ac:dyDescent="0.15">
      <c r="A530" s="19"/>
      <c r="B530" s="19"/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0" ht="17.25" x14ac:dyDescent="0.15">
      <c r="A531" s="19"/>
      <c r="B531" s="19"/>
      <c r="C531" s="20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</row>
    <row r="532" spans="1:20" ht="17.25" x14ac:dyDescent="0.15">
      <c r="A532" s="19"/>
      <c r="B532" s="19"/>
      <c r="C532" s="20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</row>
    <row r="533" spans="1:20" ht="17.25" x14ac:dyDescent="0.15">
      <c r="A533" s="19"/>
      <c r="B533" s="19"/>
      <c r="C533" s="20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</row>
    <row r="534" spans="1:20" ht="17.25" x14ac:dyDescent="0.15">
      <c r="A534" s="19"/>
      <c r="B534" s="19"/>
      <c r="C534" s="20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</row>
    <row r="535" spans="1:20" ht="17.25" x14ac:dyDescent="0.15">
      <c r="A535" s="19"/>
      <c r="B535" s="19"/>
      <c r="C535" s="20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</row>
    <row r="536" spans="1:20" ht="17.25" x14ac:dyDescent="0.15">
      <c r="A536" s="19"/>
      <c r="B536" s="19"/>
      <c r="C536" s="20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</row>
    <row r="537" spans="1:20" ht="17.25" x14ac:dyDescent="0.15">
      <c r="A537" s="19"/>
      <c r="B537" s="19"/>
      <c r="C537" s="20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</row>
    <row r="538" spans="1:20" ht="17.25" x14ac:dyDescent="0.15">
      <c r="A538" s="19"/>
      <c r="B538" s="19"/>
      <c r="C538" s="20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</row>
    <row r="539" spans="1:20" ht="17.25" x14ac:dyDescent="0.15">
      <c r="A539" s="19"/>
      <c r="B539" s="19"/>
      <c r="C539" s="20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</row>
    <row r="540" spans="1:20" ht="17.25" x14ac:dyDescent="0.15">
      <c r="A540" s="19"/>
      <c r="B540" s="19"/>
      <c r="C540" s="20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</row>
    <row r="541" spans="1:20" ht="17.25" x14ac:dyDescent="0.15">
      <c r="A541" s="19"/>
      <c r="B541" s="19"/>
      <c r="C541" s="20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</row>
    <row r="542" spans="1:20" ht="17.25" x14ac:dyDescent="0.15">
      <c r="A542" s="19"/>
      <c r="B542" s="19"/>
      <c r="C542" s="20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</row>
    <row r="543" spans="1:20" ht="17.25" x14ac:dyDescent="0.15">
      <c r="A543" s="19"/>
      <c r="B543" s="19"/>
      <c r="C543" s="20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</row>
    <row r="544" spans="1:20" ht="17.25" x14ac:dyDescent="0.15">
      <c r="A544" s="19"/>
      <c r="B544" s="19"/>
      <c r="C544" s="20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</row>
    <row r="545" spans="1:20" ht="17.25" x14ac:dyDescent="0.15">
      <c r="A545" s="19"/>
      <c r="B545" s="19"/>
      <c r="C545" s="20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</row>
    <row r="546" spans="1:20" ht="17.25" x14ac:dyDescent="0.15">
      <c r="A546" s="19"/>
      <c r="B546" s="19"/>
      <c r="C546" s="20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</row>
    <row r="547" spans="1:20" ht="17.25" x14ac:dyDescent="0.15">
      <c r="A547" s="19"/>
      <c r="B547" s="19"/>
      <c r="C547" s="20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</row>
    <row r="548" spans="1:20" ht="17.25" x14ac:dyDescent="0.15">
      <c r="A548" s="19"/>
      <c r="B548" s="19"/>
      <c r="C548" s="20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</row>
    <row r="549" spans="1:20" ht="17.25" x14ac:dyDescent="0.15">
      <c r="A549" s="19"/>
      <c r="B549" s="19"/>
      <c r="C549" s="20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</row>
    <row r="550" spans="1:20" ht="17.25" x14ac:dyDescent="0.15">
      <c r="A550" s="19"/>
      <c r="B550" s="19"/>
      <c r="C550" s="20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</row>
    <row r="551" spans="1:20" ht="17.25" x14ac:dyDescent="0.15">
      <c r="A551" s="19"/>
      <c r="B551" s="19"/>
      <c r="C551" s="20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</row>
    <row r="552" spans="1:20" ht="17.25" x14ac:dyDescent="0.15">
      <c r="A552" s="19"/>
      <c r="B552" s="19"/>
      <c r="C552" s="20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</row>
    <row r="553" spans="1:20" ht="17.25" x14ac:dyDescent="0.15">
      <c r="A553" s="19"/>
      <c r="B553" s="19"/>
      <c r="C553" s="20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</row>
    <row r="554" spans="1:20" ht="17.25" x14ac:dyDescent="0.15">
      <c r="A554" s="19"/>
      <c r="B554" s="19"/>
      <c r="C554" s="20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</row>
    <row r="555" spans="1:20" ht="17.25" x14ac:dyDescent="0.15">
      <c r="A555" s="19"/>
      <c r="B555" s="19"/>
      <c r="C555" s="20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</row>
    <row r="556" spans="1:20" ht="17.25" x14ac:dyDescent="0.15">
      <c r="A556" s="19"/>
      <c r="B556" s="19"/>
      <c r="C556" s="20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</row>
    <row r="557" spans="1:20" ht="17.25" x14ac:dyDescent="0.15">
      <c r="A557" s="19"/>
      <c r="B557" s="19"/>
      <c r="C557" s="20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</row>
    <row r="558" spans="1:20" ht="17.25" x14ac:dyDescent="0.15">
      <c r="A558" s="19"/>
      <c r="B558" s="19"/>
      <c r="C558" s="20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</row>
    <row r="559" spans="1:20" ht="17.25" x14ac:dyDescent="0.15">
      <c r="A559" s="19"/>
      <c r="B559" s="19"/>
      <c r="C559" s="20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</row>
    <row r="560" spans="1:20" ht="17.25" x14ac:dyDescent="0.15">
      <c r="A560" s="19"/>
      <c r="B560" s="19"/>
      <c r="C560" s="20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</row>
    <row r="561" spans="1:20" ht="17.25" x14ac:dyDescent="0.15">
      <c r="A561" s="19"/>
      <c r="B561" s="19"/>
      <c r="C561" s="20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</row>
    <row r="562" spans="1:20" ht="17.25" x14ac:dyDescent="0.15">
      <c r="A562" s="19"/>
      <c r="B562" s="19"/>
      <c r="C562" s="20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</row>
    <row r="563" spans="1:20" ht="17.25" x14ac:dyDescent="0.15">
      <c r="A563" s="19"/>
      <c r="B563" s="19"/>
      <c r="C563" s="20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</row>
    <row r="564" spans="1:20" ht="17.25" x14ac:dyDescent="0.15">
      <c r="A564" s="19"/>
      <c r="B564" s="19"/>
      <c r="C564" s="20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</row>
    <row r="565" spans="1:20" ht="17.25" x14ac:dyDescent="0.15">
      <c r="A565" s="19"/>
      <c r="B565" s="19"/>
      <c r="C565" s="20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</row>
    <row r="566" spans="1:20" ht="17.25" x14ac:dyDescent="0.15">
      <c r="A566" s="19"/>
      <c r="B566" s="19"/>
      <c r="C566" s="20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</row>
    <row r="567" spans="1:20" ht="17.25" x14ac:dyDescent="0.15">
      <c r="A567" s="19"/>
      <c r="B567" s="19"/>
      <c r="C567" s="20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</row>
    <row r="568" spans="1:20" ht="17.25" x14ac:dyDescent="0.15">
      <c r="A568" s="19"/>
      <c r="B568" s="19"/>
      <c r="C568" s="20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</row>
    <row r="569" spans="1:20" ht="17.25" x14ac:dyDescent="0.15">
      <c r="A569" s="19"/>
      <c r="B569" s="19"/>
      <c r="C569" s="20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</row>
    <row r="570" spans="1:20" ht="17.25" x14ac:dyDescent="0.15">
      <c r="A570" s="19"/>
      <c r="B570" s="19"/>
      <c r="C570" s="20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</row>
    <row r="571" spans="1:20" ht="17.25" x14ac:dyDescent="0.15">
      <c r="A571" s="19"/>
      <c r="B571" s="19"/>
      <c r="C571" s="20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</row>
    <row r="572" spans="1:20" ht="17.25" x14ac:dyDescent="0.15">
      <c r="A572" s="19"/>
      <c r="B572" s="19"/>
      <c r="C572" s="20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</row>
    <row r="573" spans="1:20" ht="17.25" x14ac:dyDescent="0.15">
      <c r="A573" s="19"/>
      <c r="B573" s="19"/>
      <c r="C573" s="20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</row>
    <row r="574" spans="1:20" ht="17.25" x14ac:dyDescent="0.15">
      <c r="A574" s="19"/>
      <c r="B574" s="19"/>
      <c r="C574" s="20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</row>
    <row r="575" spans="1:20" ht="17.25" x14ac:dyDescent="0.15">
      <c r="A575" s="19"/>
      <c r="B575" s="19"/>
      <c r="C575" s="20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</row>
    <row r="576" spans="1:20" ht="17.25" x14ac:dyDescent="0.15">
      <c r="A576" s="19"/>
      <c r="B576" s="19"/>
      <c r="C576" s="20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</row>
    <row r="577" spans="1:20" ht="17.25" x14ac:dyDescent="0.15">
      <c r="A577" s="19"/>
      <c r="B577" s="19"/>
      <c r="C577" s="20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</row>
    <row r="578" spans="1:20" ht="17.25" x14ac:dyDescent="0.15">
      <c r="A578" s="19"/>
      <c r="B578" s="19"/>
      <c r="C578" s="20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</row>
    <row r="579" spans="1:20" ht="17.25" x14ac:dyDescent="0.15">
      <c r="A579" s="19"/>
      <c r="B579" s="19"/>
      <c r="C579" s="20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</row>
    <row r="580" spans="1:20" ht="17.25" x14ac:dyDescent="0.15">
      <c r="A580" s="19"/>
      <c r="B580" s="19"/>
      <c r="C580" s="20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0" ht="17.25" x14ac:dyDescent="0.15">
      <c r="A581" s="19"/>
      <c r="B581" s="19"/>
      <c r="C581" s="20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0" ht="17.25" x14ac:dyDescent="0.1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0" ht="17.25" x14ac:dyDescent="0.15">
      <c r="A583" s="19"/>
      <c r="B583" s="19"/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ht="17.25" x14ac:dyDescent="0.15">
      <c r="A584" s="19"/>
      <c r="B584" s="19"/>
      <c r="C584" s="20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</row>
    <row r="585" spans="1:20" ht="17.25" x14ac:dyDescent="0.15">
      <c r="A585" s="19"/>
      <c r="B585" s="19"/>
      <c r="C585" s="20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</row>
    <row r="586" spans="1:20" ht="17.25" x14ac:dyDescent="0.15">
      <c r="A586" s="19"/>
      <c r="B586" s="19"/>
      <c r="C586" s="20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</row>
    <row r="587" spans="1:20" ht="17.25" x14ac:dyDescent="0.15">
      <c r="A587" s="19"/>
      <c r="B587" s="19"/>
      <c r="C587" s="2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</row>
    <row r="588" spans="1:20" ht="17.25" x14ac:dyDescent="0.15">
      <c r="A588" s="19"/>
      <c r="B588" s="19"/>
      <c r="C588" s="20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</row>
    <row r="589" spans="1:20" ht="17.25" x14ac:dyDescent="0.15">
      <c r="A589" s="19"/>
      <c r="B589" s="19"/>
      <c r="C589" s="20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</row>
    <row r="590" spans="1:20" ht="17.25" x14ac:dyDescent="0.15">
      <c r="A590" s="19"/>
      <c r="B590" s="19"/>
      <c r="C590" s="20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</row>
    <row r="591" spans="1:20" ht="17.25" x14ac:dyDescent="0.15">
      <c r="A591" s="19"/>
      <c r="B591" s="19"/>
      <c r="C591" s="2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</row>
    <row r="592" spans="1:20" ht="17.25" x14ac:dyDescent="0.15">
      <c r="A592" s="19"/>
      <c r="B592" s="19"/>
      <c r="C592" s="2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</row>
    <row r="593" spans="1:20" ht="17.25" x14ac:dyDescent="0.15">
      <c r="A593" s="19"/>
      <c r="B593" s="19"/>
      <c r="C593" s="2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</row>
    <row r="594" spans="1:20" ht="17.25" x14ac:dyDescent="0.15">
      <c r="A594" s="19"/>
      <c r="B594" s="19"/>
      <c r="C594" s="2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</row>
    <row r="595" spans="1:20" ht="17.25" x14ac:dyDescent="0.15">
      <c r="A595" s="19"/>
      <c r="B595" s="19"/>
      <c r="C595" s="2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</row>
    <row r="596" spans="1:20" ht="17.25" x14ac:dyDescent="0.15">
      <c r="A596" s="19"/>
      <c r="B596" s="19"/>
      <c r="C596" s="2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</row>
    <row r="597" spans="1:20" ht="17.25" x14ac:dyDescent="0.15">
      <c r="A597" s="19"/>
      <c r="B597" s="19"/>
      <c r="C597" s="2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</row>
    <row r="598" spans="1:20" ht="17.25" x14ac:dyDescent="0.15">
      <c r="A598" s="19"/>
      <c r="B598" s="19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</row>
    <row r="599" spans="1:20" ht="17.25" x14ac:dyDescent="0.15">
      <c r="A599" s="19"/>
      <c r="B599" s="19"/>
      <c r="C599" s="2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</row>
    <row r="600" spans="1:20" ht="17.25" x14ac:dyDescent="0.15">
      <c r="A600" s="19"/>
      <c r="B600" s="19"/>
      <c r="C600" s="2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</row>
    <row r="601" spans="1:20" ht="17.25" x14ac:dyDescent="0.15">
      <c r="A601" s="19"/>
      <c r="B601" s="19"/>
      <c r="C601" s="2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</row>
    <row r="602" spans="1:20" ht="17.25" x14ac:dyDescent="0.15">
      <c r="A602" s="19"/>
      <c r="B602" s="19"/>
      <c r="C602" s="2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</row>
    <row r="603" spans="1:20" ht="17.25" x14ac:dyDescent="0.15">
      <c r="A603" s="19"/>
      <c r="B603" s="19"/>
      <c r="C603" s="2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</row>
    <row r="604" spans="1:20" ht="17.25" x14ac:dyDescent="0.15">
      <c r="A604" s="19"/>
      <c r="B604" s="19"/>
      <c r="C604" s="2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</row>
    <row r="605" spans="1:20" ht="17.25" x14ac:dyDescent="0.15">
      <c r="A605" s="19"/>
      <c r="B605" s="19"/>
      <c r="C605" s="20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</row>
    <row r="606" spans="1:20" ht="17.25" x14ac:dyDescent="0.15">
      <c r="A606" s="19"/>
      <c r="B606" s="19"/>
      <c r="C606" s="20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</row>
    <row r="607" spans="1:20" ht="17.25" x14ac:dyDescent="0.15">
      <c r="A607" s="19"/>
      <c r="B607" s="19"/>
      <c r="C607" s="2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</row>
    <row r="608" spans="1:20" ht="17.25" x14ac:dyDescent="0.15">
      <c r="A608" s="19"/>
      <c r="B608" s="19"/>
      <c r="C608" s="20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</row>
    <row r="609" spans="1:20" ht="17.25" x14ac:dyDescent="0.15">
      <c r="A609" s="19"/>
      <c r="B609" s="19"/>
      <c r="C609" s="20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</row>
    <row r="610" spans="1:20" ht="17.25" x14ac:dyDescent="0.15">
      <c r="A610" s="19"/>
      <c r="B610" s="19"/>
      <c r="C610" s="20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</row>
    <row r="611" spans="1:20" ht="17.25" x14ac:dyDescent="0.15">
      <c r="A611" s="19"/>
      <c r="B611" s="19"/>
      <c r="C611" s="2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</row>
    <row r="612" spans="1:20" ht="17.25" x14ac:dyDescent="0.15">
      <c r="A612" s="19"/>
      <c r="B612" s="19"/>
      <c r="C612" s="20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</row>
    <row r="613" spans="1:20" ht="17.25" x14ac:dyDescent="0.15">
      <c r="A613" s="19"/>
      <c r="B613" s="19"/>
      <c r="C613" s="20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</row>
    <row r="614" spans="1:20" ht="17.25" x14ac:dyDescent="0.15">
      <c r="A614" s="19"/>
      <c r="B614" s="19"/>
      <c r="C614" s="20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</row>
    <row r="615" spans="1:20" ht="17.25" x14ac:dyDescent="0.15">
      <c r="A615" s="19"/>
      <c r="B615" s="19"/>
      <c r="C615" s="2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</row>
    <row r="616" spans="1:20" ht="17.25" x14ac:dyDescent="0.15">
      <c r="A616" s="19"/>
      <c r="B616" s="19"/>
      <c r="C616" s="20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</row>
    <row r="617" spans="1:20" ht="17.25" x14ac:dyDescent="0.15">
      <c r="A617" s="19"/>
      <c r="B617" s="19"/>
      <c r="C617" s="20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</row>
    <row r="618" spans="1:20" ht="17.25" x14ac:dyDescent="0.15">
      <c r="A618" s="19"/>
      <c r="B618" s="19"/>
      <c r="C618" s="20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</row>
    <row r="619" spans="1:20" ht="17.25" x14ac:dyDescent="0.15">
      <c r="A619" s="19"/>
      <c r="B619" s="19"/>
      <c r="C619" s="2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</row>
    <row r="620" spans="1:20" ht="17.25" x14ac:dyDescent="0.15">
      <c r="A620" s="19"/>
      <c r="B620" s="19"/>
      <c r="C620" s="20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</row>
    <row r="621" spans="1:20" ht="17.25" x14ac:dyDescent="0.15">
      <c r="A621" s="19"/>
      <c r="B621" s="19"/>
      <c r="C621" s="20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</row>
    <row r="622" spans="1:20" ht="17.25" x14ac:dyDescent="0.15">
      <c r="A622" s="19"/>
      <c r="B622" s="19"/>
      <c r="C622" s="20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</row>
    <row r="623" spans="1:20" ht="17.25" x14ac:dyDescent="0.15">
      <c r="A623" s="19"/>
      <c r="B623" s="19"/>
      <c r="C623" s="2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</row>
    <row r="624" spans="1:20" ht="17.25" x14ac:dyDescent="0.15">
      <c r="A624" s="19"/>
      <c r="B624" s="19"/>
      <c r="C624" s="20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</row>
    <row r="625" spans="1:20" ht="17.25" x14ac:dyDescent="0.15">
      <c r="A625" s="19"/>
      <c r="B625" s="19"/>
      <c r="C625" s="20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</row>
    <row r="626" spans="1:20" ht="17.25" x14ac:dyDescent="0.15">
      <c r="A626" s="19"/>
      <c r="B626" s="19"/>
      <c r="C626" s="20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</row>
    <row r="627" spans="1:20" ht="17.25" x14ac:dyDescent="0.15">
      <c r="A627" s="19"/>
      <c r="B627" s="19"/>
      <c r="C627" s="2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</row>
    <row r="628" spans="1:20" ht="17.25" x14ac:dyDescent="0.15">
      <c r="A628" s="19"/>
      <c r="B628" s="19"/>
      <c r="C628" s="20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</row>
    <row r="629" spans="1:20" ht="17.25" x14ac:dyDescent="0.15">
      <c r="A629" s="19"/>
      <c r="B629" s="19"/>
      <c r="C629" s="20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</row>
    <row r="630" spans="1:20" ht="17.25" x14ac:dyDescent="0.15">
      <c r="A630" s="19"/>
      <c r="B630" s="19"/>
      <c r="C630" s="20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</row>
    <row r="631" spans="1:20" ht="17.25" x14ac:dyDescent="0.15">
      <c r="A631" s="19"/>
      <c r="B631" s="19"/>
      <c r="C631" s="2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</row>
    <row r="632" spans="1:20" ht="17.25" x14ac:dyDescent="0.15">
      <c r="A632" s="19"/>
      <c r="B632" s="19"/>
      <c r="C632" s="20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</row>
    <row r="633" spans="1:20" ht="17.25" x14ac:dyDescent="0.15">
      <c r="A633" s="19"/>
      <c r="B633" s="19"/>
      <c r="C633" s="20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ht="17.25" x14ac:dyDescent="0.15">
      <c r="A634" s="19"/>
      <c r="B634" s="19"/>
      <c r="C634" s="20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ht="17.25" x14ac:dyDescent="0.1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ht="17.25" x14ac:dyDescent="0.15">
      <c r="A636" s="19"/>
      <c r="B636" s="19"/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7.25" x14ac:dyDescent="0.15">
      <c r="A637" s="19"/>
      <c r="B637" s="19"/>
      <c r="C637" s="20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</row>
    <row r="638" spans="1:20" ht="17.25" x14ac:dyDescent="0.15">
      <c r="A638" s="19"/>
      <c r="B638" s="19"/>
      <c r="C638" s="20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</row>
    <row r="639" spans="1:20" ht="17.25" x14ac:dyDescent="0.15">
      <c r="A639" s="19"/>
      <c r="B639" s="19"/>
      <c r="C639" s="2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</row>
    <row r="640" spans="1:20" ht="17.25" x14ac:dyDescent="0.15">
      <c r="A640" s="19"/>
      <c r="B640" s="19"/>
      <c r="C640" s="20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</row>
    <row r="641" spans="1:20" ht="17.25" x14ac:dyDescent="0.15">
      <c r="A641" s="19"/>
      <c r="B641" s="19"/>
      <c r="C641" s="20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</row>
    <row r="642" spans="1:20" ht="17.25" x14ac:dyDescent="0.15">
      <c r="A642" s="19"/>
      <c r="B642" s="19"/>
      <c r="C642" s="20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</row>
    <row r="643" spans="1:20" ht="17.25" x14ac:dyDescent="0.15">
      <c r="A643" s="19"/>
      <c r="B643" s="19"/>
      <c r="C643" s="2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</row>
    <row r="644" spans="1:20" ht="17.25" x14ac:dyDescent="0.15">
      <c r="A644" s="19"/>
      <c r="B644" s="19"/>
      <c r="C644" s="20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</row>
    <row r="645" spans="1:20" ht="17.25" x14ac:dyDescent="0.15">
      <c r="A645" s="19"/>
      <c r="B645" s="19"/>
      <c r="C645" s="20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</row>
    <row r="646" spans="1:20" ht="17.25" x14ac:dyDescent="0.15">
      <c r="A646" s="19"/>
      <c r="B646" s="19"/>
      <c r="C646" s="20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</row>
    <row r="647" spans="1:20" ht="17.25" x14ac:dyDescent="0.15">
      <c r="A647" s="19"/>
      <c r="B647" s="19"/>
      <c r="C647" s="2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</row>
    <row r="648" spans="1:20" ht="17.25" x14ac:dyDescent="0.15">
      <c r="A648" s="19"/>
      <c r="B648" s="19"/>
      <c r="C648" s="20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</row>
    <row r="649" spans="1:20" ht="17.25" x14ac:dyDescent="0.15">
      <c r="A649" s="19"/>
      <c r="B649" s="19"/>
      <c r="C649" s="20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</row>
    <row r="650" spans="1:20" ht="17.25" x14ac:dyDescent="0.15">
      <c r="A650" s="19"/>
      <c r="B650" s="19"/>
      <c r="C650" s="20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</row>
    <row r="651" spans="1:20" ht="17.25" x14ac:dyDescent="0.15">
      <c r="A651" s="19"/>
      <c r="B651" s="19"/>
      <c r="C651" s="2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</row>
    <row r="652" spans="1:20" ht="17.25" x14ac:dyDescent="0.15">
      <c r="A652" s="19"/>
      <c r="B652" s="19"/>
      <c r="C652" s="20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</row>
    <row r="653" spans="1:20" ht="17.25" x14ac:dyDescent="0.15">
      <c r="A653" s="19"/>
      <c r="B653" s="19"/>
      <c r="C653" s="20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</row>
    <row r="654" spans="1:20" ht="17.25" x14ac:dyDescent="0.15">
      <c r="A654" s="19"/>
      <c r="B654" s="19"/>
      <c r="C654" s="20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</row>
    <row r="655" spans="1:20" ht="17.25" x14ac:dyDescent="0.15">
      <c r="A655" s="19"/>
      <c r="B655" s="19"/>
      <c r="C655" s="2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</row>
    <row r="656" spans="1:20" ht="17.25" x14ac:dyDescent="0.15">
      <c r="A656" s="19"/>
      <c r="B656" s="19"/>
      <c r="C656" s="20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</row>
    <row r="657" spans="1:20" ht="17.25" x14ac:dyDescent="0.15">
      <c r="A657" s="19"/>
      <c r="B657" s="19"/>
      <c r="C657" s="20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</row>
    <row r="658" spans="1:20" ht="17.25" x14ac:dyDescent="0.15">
      <c r="A658" s="19"/>
      <c r="B658" s="19"/>
      <c r="C658" s="20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</row>
    <row r="659" spans="1:20" ht="17.25" x14ac:dyDescent="0.15">
      <c r="A659" s="19"/>
      <c r="B659" s="19"/>
      <c r="C659" s="2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</row>
    <row r="660" spans="1:20" ht="17.25" x14ac:dyDescent="0.15">
      <c r="A660" s="19"/>
      <c r="B660" s="19"/>
      <c r="C660" s="20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</row>
    <row r="661" spans="1:20" ht="17.25" x14ac:dyDescent="0.15">
      <c r="A661" s="19"/>
      <c r="B661" s="19"/>
      <c r="C661" s="20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</row>
    <row r="662" spans="1:20" ht="17.25" x14ac:dyDescent="0.15">
      <c r="A662" s="19"/>
      <c r="B662" s="19"/>
      <c r="C662" s="20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</row>
    <row r="663" spans="1:20" ht="17.25" x14ac:dyDescent="0.15">
      <c r="A663" s="19"/>
      <c r="B663" s="19"/>
      <c r="C663" s="2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</row>
    <row r="664" spans="1:20" ht="17.25" x14ac:dyDescent="0.15">
      <c r="A664" s="19"/>
      <c r="B664" s="19"/>
      <c r="C664" s="20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</row>
    <row r="665" spans="1:20" ht="17.25" x14ac:dyDescent="0.15">
      <c r="A665" s="19"/>
      <c r="B665" s="19"/>
      <c r="C665" s="20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</row>
    <row r="666" spans="1:20" ht="17.25" x14ac:dyDescent="0.15">
      <c r="A666" s="19"/>
      <c r="B666" s="19"/>
      <c r="C666" s="20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</row>
    <row r="667" spans="1:20" ht="17.25" x14ac:dyDescent="0.15">
      <c r="A667" s="19"/>
      <c r="B667" s="19"/>
      <c r="C667" s="2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</row>
    <row r="668" spans="1:20" ht="17.25" x14ac:dyDescent="0.15">
      <c r="A668" s="19"/>
      <c r="B668" s="19"/>
      <c r="C668" s="20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</row>
    <row r="669" spans="1:20" ht="17.25" x14ac:dyDescent="0.15">
      <c r="A669" s="19"/>
      <c r="B669" s="19"/>
      <c r="C669" s="20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</row>
    <row r="670" spans="1:20" ht="17.25" x14ac:dyDescent="0.15">
      <c r="A670" s="19"/>
      <c r="B670" s="19"/>
      <c r="C670" s="2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</row>
    <row r="671" spans="1:20" ht="17.25" x14ac:dyDescent="0.15">
      <c r="A671" s="19"/>
      <c r="B671" s="19"/>
      <c r="C671" s="2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</row>
    <row r="672" spans="1:20" ht="17.25" x14ac:dyDescent="0.15">
      <c r="A672" s="19"/>
      <c r="B672" s="19"/>
      <c r="C672" s="20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</row>
    <row r="673" spans="1:20" ht="17.25" x14ac:dyDescent="0.15">
      <c r="A673" s="19"/>
      <c r="B673" s="19"/>
      <c r="C673" s="20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</row>
    <row r="674" spans="1:20" ht="17.25" x14ac:dyDescent="0.15">
      <c r="A674" s="19"/>
      <c r="B674" s="19"/>
      <c r="C674" s="20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</row>
    <row r="675" spans="1:20" ht="17.25" x14ac:dyDescent="0.15">
      <c r="A675" s="19"/>
      <c r="B675" s="19"/>
      <c r="C675" s="2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</row>
    <row r="676" spans="1:20" ht="17.25" x14ac:dyDescent="0.15">
      <c r="A676" s="19"/>
      <c r="B676" s="19"/>
      <c r="C676" s="20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</row>
    <row r="677" spans="1:20" ht="17.25" x14ac:dyDescent="0.15">
      <c r="A677" s="19"/>
      <c r="B677" s="19"/>
      <c r="C677" s="20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</row>
    <row r="678" spans="1:20" ht="17.25" x14ac:dyDescent="0.15">
      <c r="A678" s="19"/>
      <c r="B678" s="19"/>
      <c r="C678" s="20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</row>
    <row r="679" spans="1:20" ht="17.25" x14ac:dyDescent="0.15">
      <c r="A679" s="19"/>
      <c r="B679" s="19"/>
      <c r="C679" s="2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</row>
    <row r="680" spans="1:20" ht="17.25" x14ac:dyDescent="0.15">
      <c r="A680" s="19"/>
      <c r="B680" s="19"/>
      <c r="C680" s="20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</row>
    <row r="681" spans="1:20" ht="17.25" x14ac:dyDescent="0.15">
      <c r="A681" s="19"/>
      <c r="B681" s="19"/>
      <c r="C681" s="20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</row>
    <row r="682" spans="1:20" ht="17.25" x14ac:dyDescent="0.15">
      <c r="A682" s="19"/>
      <c r="B682" s="19"/>
      <c r="C682" s="20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</row>
    <row r="683" spans="1:20" ht="17.25" x14ac:dyDescent="0.15">
      <c r="A683" s="19"/>
      <c r="B683" s="19"/>
      <c r="C683" s="2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</row>
    <row r="684" spans="1:20" ht="17.25" x14ac:dyDescent="0.15">
      <c r="A684" s="19"/>
      <c r="B684" s="19"/>
      <c r="C684" s="20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</row>
    <row r="685" spans="1:20" ht="17.25" x14ac:dyDescent="0.15">
      <c r="A685" s="19"/>
      <c r="B685" s="19"/>
      <c r="C685" s="20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</row>
    <row r="686" spans="1:20" ht="17.25" x14ac:dyDescent="0.15">
      <c r="A686" s="19"/>
      <c r="B686" s="19"/>
      <c r="C686" s="20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ht="17.25" x14ac:dyDescent="0.15">
      <c r="A687" s="19"/>
      <c r="B687" s="19"/>
      <c r="C687" s="2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ht="17.25" x14ac:dyDescent="0.1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0" ht="17.25" x14ac:dyDescent="0.15">
      <c r="A689" s="19"/>
      <c r="B689" s="19"/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0" ht="17.25" x14ac:dyDescent="0.15">
      <c r="A690" s="19"/>
      <c r="B690" s="19"/>
      <c r="C690" s="20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</row>
    <row r="691" spans="1:20" ht="17.25" x14ac:dyDescent="0.15">
      <c r="A691" s="19"/>
      <c r="B691" s="19"/>
      <c r="C691" s="2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</row>
    <row r="692" spans="1:20" ht="17.25" x14ac:dyDescent="0.15">
      <c r="A692" s="19"/>
      <c r="B692" s="19"/>
      <c r="C692" s="20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</row>
    <row r="693" spans="1:20" ht="17.25" x14ac:dyDescent="0.15">
      <c r="A693" s="19"/>
      <c r="B693" s="19"/>
      <c r="C693" s="20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</row>
    <row r="694" spans="1:20" ht="17.25" x14ac:dyDescent="0.15">
      <c r="A694" s="19"/>
      <c r="B694" s="19"/>
      <c r="C694" s="20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</row>
    <row r="695" spans="1:20" ht="17.25" x14ac:dyDescent="0.15">
      <c r="A695" s="19"/>
      <c r="B695" s="19"/>
      <c r="C695" s="2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</row>
    <row r="696" spans="1:20" ht="17.25" x14ac:dyDescent="0.15">
      <c r="A696" s="19"/>
      <c r="B696" s="19"/>
      <c r="C696" s="20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</row>
    <row r="697" spans="1:20" ht="17.25" x14ac:dyDescent="0.15">
      <c r="A697" s="19"/>
      <c r="B697" s="19"/>
      <c r="C697" s="20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</row>
    <row r="698" spans="1:20" ht="17.25" x14ac:dyDescent="0.15">
      <c r="A698" s="19"/>
      <c r="B698" s="19"/>
      <c r="C698" s="20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</row>
    <row r="699" spans="1:20" ht="17.25" x14ac:dyDescent="0.15">
      <c r="A699" s="19"/>
      <c r="B699" s="19"/>
      <c r="C699" s="2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</row>
    <row r="700" spans="1:20" ht="17.25" x14ac:dyDescent="0.15">
      <c r="A700" s="19"/>
      <c r="B700" s="19"/>
      <c r="C700" s="20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</row>
    <row r="701" spans="1:20" ht="17.25" x14ac:dyDescent="0.15">
      <c r="A701" s="19"/>
      <c r="B701" s="19"/>
      <c r="C701" s="20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</row>
    <row r="702" spans="1:20" ht="17.25" x14ac:dyDescent="0.15">
      <c r="A702" s="19"/>
      <c r="B702" s="19"/>
      <c r="C702" s="20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</row>
    <row r="703" spans="1:20" ht="17.25" x14ac:dyDescent="0.15">
      <c r="A703" s="19"/>
      <c r="B703" s="19"/>
      <c r="C703" s="2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</row>
    <row r="704" spans="1:20" ht="17.25" x14ac:dyDescent="0.15">
      <c r="A704" s="19"/>
      <c r="B704" s="19"/>
      <c r="C704" s="20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</row>
    <row r="705" spans="1:20" ht="17.25" x14ac:dyDescent="0.15">
      <c r="A705" s="19"/>
      <c r="B705" s="19"/>
      <c r="C705" s="20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</row>
    <row r="706" spans="1:20" ht="17.25" x14ac:dyDescent="0.15">
      <c r="A706" s="19"/>
      <c r="B706" s="19"/>
      <c r="C706" s="20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</row>
    <row r="707" spans="1:20" ht="17.25" x14ac:dyDescent="0.15">
      <c r="A707" s="19"/>
      <c r="B707" s="19"/>
      <c r="C707" s="2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</row>
    <row r="708" spans="1:20" ht="17.25" x14ac:dyDescent="0.15">
      <c r="A708" s="19"/>
      <c r="B708" s="19"/>
      <c r="C708" s="20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</row>
    <row r="709" spans="1:20" ht="17.25" x14ac:dyDescent="0.15">
      <c r="A709" s="19"/>
      <c r="B709" s="19"/>
      <c r="C709" s="20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</row>
    <row r="710" spans="1:20" ht="17.25" x14ac:dyDescent="0.15">
      <c r="A710" s="19"/>
      <c r="B710" s="19"/>
      <c r="C710" s="20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</row>
    <row r="711" spans="1:20" ht="17.25" x14ac:dyDescent="0.15">
      <c r="A711" s="19"/>
      <c r="B711" s="19"/>
      <c r="C711" s="2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</row>
    <row r="712" spans="1:20" ht="17.25" x14ac:dyDescent="0.15">
      <c r="A712" s="19"/>
      <c r="B712" s="19"/>
      <c r="C712" s="20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</row>
    <row r="713" spans="1:20" ht="17.25" x14ac:dyDescent="0.15">
      <c r="A713" s="19"/>
      <c r="B713" s="19"/>
      <c r="C713" s="20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</row>
    <row r="714" spans="1:20" ht="17.25" x14ac:dyDescent="0.15">
      <c r="A714" s="19"/>
      <c r="B714" s="19"/>
      <c r="C714" s="20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</row>
    <row r="715" spans="1:20" ht="17.25" x14ac:dyDescent="0.15">
      <c r="A715" s="19"/>
      <c r="B715" s="19"/>
      <c r="C715" s="2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</row>
    <row r="716" spans="1:20" ht="17.25" x14ac:dyDescent="0.15">
      <c r="A716" s="19"/>
      <c r="B716" s="19"/>
      <c r="C716" s="20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</row>
    <row r="717" spans="1:20" ht="17.25" x14ac:dyDescent="0.15">
      <c r="A717" s="19"/>
      <c r="B717" s="19"/>
      <c r="C717" s="20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</row>
    <row r="718" spans="1:20" ht="17.25" x14ac:dyDescent="0.15">
      <c r="A718" s="19"/>
      <c r="B718" s="19"/>
      <c r="C718" s="20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</row>
    <row r="719" spans="1:20" ht="17.25" x14ac:dyDescent="0.15">
      <c r="A719" s="19"/>
      <c r="B719" s="19"/>
      <c r="C719" s="2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</row>
    <row r="720" spans="1:20" ht="17.25" x14ac:dyDescent="0.15">
      <c r="A720" s="19"/>
      <c r="B720" s="19"/>
      <c r="C720" s="20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</row>
    <row r="721" spans="1:20" ht="17.25" x14ac:dyDescent="0.15">
      <c r="A721" s="19"/>
      <c r="B721" s="19"/>
      <c r="C721" s="20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</row>
    <row r="722" spans="1:20" ht="17.25" x14ac:dyDescent="0.15">
      <c r="A722" s="19"/>
      <c r="B722" s="19"/>
      <c r="C722" s="20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</row>
    <row r="723" spans="1:20" ht="17.25" x14ac:dyDescent="0.15">
      <c r="A723" s="19"/>
      <c r="B723" s="19"/>
      <c r="C723" s="2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</row>
    <row r="724" spans="1:20" ht="17.25" x14ac:dyDescent="0.15">
      <c r="A724" s="19"/>
      <c r="B724" s="19"/>
      <c r="C724" s="20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</row>
    <row r="725" spans="1:20" ht="17.25" x14ac:dyDescent="0.15">
      <c r="A725" s="19"/>
      <c r="B725" s="19"/>
      <c r="C725" s="2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</row>
    <row r="726" spans="1:20" ht="17.25" x14ac:dyDescent="0.15">
      <c r="A726" s="19"/>
      <c r="B726" s="19"/>
      <c r="C726" s="20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</row>
    <row r="727" spans="1:20" ht="17.25" x14ac:dyDescent="0.15">
      <c r="A727" s="19"/>
      <c r="B727" s="19"/>
      <c r="C727" s="2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</row>
    <row r="728" spans="1:20" ht="17.25" x14ac:dyDescent="0.15">
      <c r="A728" s="19"/>
      <c r="B728" s="19"/>
      <c r="C728" s="20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</row>
    <row r="729" spans="1:20" ht="17.25" x14ac:dyDescent="0.15">
      <c r="A729" s="19"/>
      <c r="B729" s="19"/>
      <c r="C729" s="20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</row>
    <row r="730" spans="1:20" ht="17.25" x14ac:dyDescent="0.15">
      <c r="A730" s="19"/>
      <c r="B730" s="19"/>
      <c r="C730" s="20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</row>
    <row r="731" spans="1:20" ht="17.25" x14ac:dyDescent="0.15">
      <c r="A731" s="19"/>
      <c r="B731" s="19"/>
      <c r="C731" s="2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</row>
    <row r="732" spans="1:20" ht="17.25" x14ac:dyDescent="0.15">
      <c r="A732" s="19"/>
      <c r="B732" s="19"/>
      <c r="C732" s="20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</row>
    <row r="733" spans="1:20" ht="17.25" x14ac:dyDescent="0.15">
      <c r="A733" s="19"/>
      <c r="B733" s="19"/>
      <c r="C733" s="20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</row>
    <row r="734" spans="1:20" ht="17.25" x14ac:dyDescent="0.15">
      <c r="A734" s="19"/>
      <c r="B734" s="19"/>
      <c r="C734" s="20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</row>
    <row r="735" spans="1:20" ht="17.25" x14ac:dyDescent="0.15">
      <c r="A735" s="19"/>
      <c r="B735" s="19"/>
      <c r="C735" s="2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</row>
    <row r="736" spans="1:20" ht="17.25" x14ac:dyDescent="0.15">
      <c r="A736" s="19"/>
      <c r="B736" s="19"/>
      <c r="C736" s="20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</row>
    <row r="737" spans="1:20" ht="17.25" x14ac:dyDescent="0.15">
      <c r="A737" s="19"/>
      <c r="B737" s="19"/>
      <c r="C737" s="20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</row>
    <row r="738" spans="1:20" ht="17.25" x14ac:dyDescent="0.15">
      <c r="A738" s="19"/>
      <c r="B738" s="19"/>
      <c r="C738" s="20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</row>
    <row r="739" spans="1:20" ht="17.25" x14ac:dyDescent="0.15">
      <c r="A739" s="19"/>
      <c r="B739" s="19"/>
      <c r="C739" s="2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0" ht="17.25" x14ac:dyDescent="0.15">
      <c r="A740" s="19"/>
      <c r="B740" s="19"/>
      <c r="C740" s="20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0" ht="17.25" x14ac:dyDescent="0.1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0" ht="17.25" x14ac:dyDescent="0.15">
      <c r="A742" s="19"/>
      <c r="B742" s="19"/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0" ht="17.25" x14ac:dyDescent="0.15">
      <c r="A743" s="19"/>
      <c r="B743" s="19"/>
      <c r="C743" s="2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</row>
    <row r="744" spans="1:20" ht="17.25" x14ac:dyDescent="0.15">
      <c r="A744" s="19"/>
      <c r="B744" s="19"/>
      <c r="C744" s="20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</row>
    <row r="745" spans="1:20" ht="17.25" x14ac:dyDescent="0.15">
      <c r="A745" s="19"/>
      <c r="B745" s="19"/>
      <c r="C745" s="20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</row>
    <row r="746" spans="1:20" ht="17.25" x14ac:dyDescent="0.15">
      <c r="A746" s="19"/>
      <c r="B746" s="19"/>
      <c r="C746" s="20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</row>
    <row r="747" spans="1:20" ht="17.25" x14ac:dyDescent="0.15">
      <c r="A747" s="19"/>
      <c r="B747" s="19"/>
      <c r="C747" s="20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</row>
    <row r="748" spans="1:20" ht="17.25" x14ac:dyDescent="0.15">
      <c r="A748" s="19"/>
      <c r="B748" s="19"/>
      <c r="C748" s="20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</row>
    <row r="749" spans="1:20" ht="17.25" x14ac:dyDescent="0.15">
      <c r="A749" s="19"/>
      <c r="B749" s="19"/>
      <c r="C749" s="20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</row>
    <row r="750" spans="1:20" ht="17.25" x14ac:dyDescent="0.15">
      <c r="A750" s="19"/>
      <c r="B750" s="19"/>
      <c r="C750" s="20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</row>
    <row r="751" spans="1:20" ht="17.25" x14ac:dyDescent="0.15">
      <c r="A751" s="19"/>
      <c r="B751" s="19"/>
      <c r="C751" s="20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</row>
    <row r="752" spans="1:20" ht="17.25" x14ac:dyDescent="0.15">
      <c r="A752" s="19"/>
      <c r="B752" s="19"/>
      <c r="C752" s="20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</row>
    <row r="753" spans="1:20" ht="17.25" x14ac:dyDescent="0.15">
      <c r="A753" s="19"/>
      <c r="B753" s="19"/>
      <c r="C753" s="20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</row>
    <row r="754" spans="1:20" ht="17.25" x14ac:dyDescent="0.15">
      <c r="A754" s="19"/>
      <c r="B754" s="19"/>
      <c r="C754" s="20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</row>
    <row r="755" spans="1:20" ht="17.25" x14ac:dyDescent="0.15">
      <c r="A755" s="19"/>
      <c r="B755" s="19"/>
      <c r="C755" s="20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</row>
    <row r="756" spans="1:20" ht="17.25" x14ac:dyDescent="0.15">
      <c r="A756" s="19"/>
      <c r="B756" s="19"/>
      <c r="C756" s="20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</row>
    <row r="757" spans="1:20" ht="17.25" x14ac:dyDescent="0.15">
      <c r="A757" s="19"/>
      <c r="B757" s="19"/>
      <c r="C757" s="20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</row>
    <row r="758" spans="1:20" ht="17.25" x14ac:dyDescent="0.15">
      <c r="A758" s="19"/>
      <c r="B758" s="19"/>
      <c r="C758" s="20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</row>
    <row r="759" spans="1:20" ht="17.25" x14ac:dyDescent="0.15">
      <c r="A759" s="19"/>
      <c r="B759" s="19"/>
      <c r="C759" s="20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</row>
    <row r="760" spans="1:20" ht="17.25" x14ac:dyDescent="0.15">
      <c r="A760" s="19"/>
      <c r="B760" s="19"/>
      <c r="C760" s="20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</row>
    <row r="761" spans="1:20" ht="17.25" x14ac:dyDescent="0.15">
      <c r="A761" s="19"/>
      <c r="B761" s="19"/>
      <c r="C761" s="20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</row>
    <row r="762" spans="1:20" ht="17.25" x14ac:dyDescent="0.15">
      <c r="A762" s="19"/>
      <c r="B762" s="19"/>
      <c r="C762" s="20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</row>
    <row r="763" spans="1:20" ht="17.25" x14ac:dyDescent="0.15">
      <c r="A763" s="19"/>
      <c r="B763" s="19"/>
      <c r="C763" s="20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</row>
    <row r="764" spans="1:20" ht="17.25" x14ac:dyDescent="0.15">
      <c r="A764" s="19"/>
      <c r="B764" s="19"/>
      <c r="C764" s="20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</row>
    <row r="765" spans="1:20" ht="17.25" x14ac:dyDescent="0.15">
      <c r="A765" s="19"/>
      <c r="B765" s="19"/>
      <c r="C765" s="20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</row>
    <row r="766" spans="1:20" ht="17.25" x14ac:dyDescent="0.15">
      <c r="A766" s="19"/>
      <c r="B766" s="19"/>
      <c r="C766" s="20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</row>
    <row r="767" spans="1:20" ht="17.25" x14ac:dyDescent="0.15">
      <c r="A767" s="19"/>
      <c r="B767" s="19"/>
      <c r="C767" s="20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</row>
    <row r="768" spans="1:20" ht="17.25" x14ac:dyDescent="0.15">
      <c r="A768" s="19"/>
      <c r="B768" s="19"/>
      <c r="C768" s="20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</row>
    <row r="769" spans="1:20" ht="17.25" x14ac:dyDescent="0.15">
      <c r="A769" s="19"/>
      <c r="B769" s="19"/>
      <c r="C769" s="20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</row>
    <row r="770" spans="1:20" ht="17.25" x14ac:dyDescent="0.15">
      <c r="A770" s="19"/>
      <c r="B770" s="19"/>
      <c r="C770" s="20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</row>
    <row r="771" spans="1:20" ht="17.25" x14ac:dyDescent="0.15">
      <c r="A771" s="19"/>
      <c r="B771" s="19"/>
      <c r="C771" s="20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</row>
    <row r="772" spans="1:20" ht="17.25" x14ac:dyDescent="0.15">
      <c r="A772" s="19"/>
      <c r="B772" s="19"/>
      <c r="C772" s="20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</row>
    <row r="773" spans="1:20" ht="17.25" x14ac:dyDescent="0.15">
      <c r="A773" s="19"/>
      <c r="B773" s="19"/>
      <c r="C773" s="20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</row>
    <row r="774" spans="1:20" ht="17.25" x14ac:dyDescent="0.15">
      <c r="A774" s="19"/>
      <c r="B774" s="19"/>
      <c r="C774" s="20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</row>
    <row r="775" spans="1:20" ht="17.25" x14ac:dyDescent="0.15">
      <c r="A775" s="19"/>
      <c r="B775" s="19"/>
      <c r="C775" s="20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</row>
    <row r="776" spans="1:20" ht="17.25" x14ac:dyDescent="0.15">
      <c r="A776" s="19"/>
      <c r="B776" s="19"/>
      <c r="C776" s="20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</row>
    <row r="777" spans="1:20" ht="17.25" x14ac:dyDescent="0.15">
      <c r="A777" s="19"/>
      <c r="B777" s="19"/>
      <c r="C777" s="20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</row>
    <row r="778" spans="1:20" ht="17.25" x14ac:dyDescent="0.15">
      <c r="A778" s="19"/>
      <c r="B778" s="19"/>
      <c r="C778" s="20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</row>
    <row r="779" spans="1:20" ht="17.25" x14ac:dyDescent="0.15">
      <c r="A779" s="19"/>
      <c r="B779" s="19"/>
      <c r="C779" s="20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</row>
    <row r="780" spans="1:20" ht="17.25" x14ac:dyDescent="0.15">
      <c r="A780" s="19"/>
      <c r="B780" s="19"/>
      <c r="C780" s="20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</row>
    <row r="781" spans="1:20" ht="17.25" x14ac:dyDescent="0.15">
      <c r="A781" s="19"/>
      <c r="B781" s="19"/>
      <c r="C781" s="20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</row>
    <row r="782" spans="1:20" ht="17.25" x14ac:dyDescent="0.15">
      <c r="A782" s="19"/>
      <c r="B782" s="19"/>
      <c r="C782" s="20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</row>
    <row r="783" spans="1:20" ht="17.25" x14ac:dyDescent="0.15">
      <c r="A783" s="19"/>
      <c r="B783" s="19"/>
      <c r="C783" s="20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</row>
    <row r="784" spans="1:20" ht="17.25" x14ac:dyDescent="0.15">
      <c r="A784" s="19"/>
      <c r="B784" s="19"/>
      <c r="C784" s="20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</row>
    <row r="785" spans="1:20" ht="17.25" x14ac:dyDescent="0.15">
      <c r="A785" s="19"/>
      <c r="B785" s="19"/>
      <c r="C785" s="20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</row>
    <row r="786" spans="1:20" ht="17.25" x14ac:dyDescent="0.15">
      <c r="A786" s="19"/>
      <c r="B786" s="19"/>
      <c r="C786" s="20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</row>
    <row r="787" spans="1:20" ht="17.25" x14ac:dyDescent="0.15">
      <c r="A787" s="19"/>
      <c r="B787" s="19"/>
      <c r="C787" s="20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</row>
    <row r="788" spans="1:20" ht="17.25" x14ac:dyDescent="0.15">
      <c r="A788" s="19"/>
      <c r="B788" s="19"/>
      <c r="C788" s="20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</row>
    <row r="789" spans="1:20" ht="17.25" x14ac:dyDescent="0.15">
      <c r="A789" s="19"/>
      <c r="B789" s="19"/>
      <c r="C789" s="20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</row>
    <row r="790" spans="1:20" ht="17.25" x14ac:dyDescent="0.15">
      <c r="A790" s="19"/>
      <c r="B790" s="19"/>
      <c r="C790" s="20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</row>
    <row r="791" spans="1:20" ht="17.25" x14ac:dyDescent="0.15">
      <c r="A791" s="19"/>
      <c r="B791" s="19"/>
      <c r="C791" s="20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</row>
    <row r="792" spans="1:20" ht="17.25" x14ac:dyDescent="0.15">
      <c r="A792" s="19"/>
      <c r="B792" s="19"/>
      <c r="C792" s="20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ht="17.25" x14ac:dyDescent="0.15">
      <c r="A793" s="19"/>
      <c r="B793" s="19"/>
      <c r="C793" s="20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ht="17.25" x14ac:dyDescent="0.1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ht="17.25" x14ac:dyDescent="0.15">
      <c r="A795" s="19"/>
      <c r="B795" s="19"/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7.25" x14ac:dyDescent="0.15">
      <c r="A796" s="19"/>
      <c r="B796" s="19"/>
      <c r="C796" s="20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</row>
    <row r="797" spans="1:20" ht="17.25" x14ac:dyDescent="0.15">
      <c r="A797" s="19"/>
      <c r="B797" s="19"/>
      <c r="C797" s="20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</row>
    <row r="798" spans="1:20" ht="17.25" x14ac:dyDescent="0.15">
      <c r="A798" s="19"/>
      <c r="B798" s="19"/>
      <c r="C798" s="20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</row>
    <row r="799" spans="1:20" ht="17.25" x14ac:dyDescent="0.15">
      <c r="A799" s="19"/>
      <c r="B799" s="19"/>
      <c r="C799" s="20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</row>
    <row r="800" spans="1:20" ht="17.25" x14ac:dyDescent="0.15">
      <c r="A800" s="19"/>
      <c r="B800" s="19"/>
      <c r="C800" s="20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</row>
    <row r="801" spans="1:20" ht="17.25" x14ac:dyDescent="0.15">
      <c r="A801" s="19"/>
      <c r="B801" s="19"/>
      <c r="C801" s="20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</row>
    <row r="802" spans="1:20" ht="17.25" x14ac:dyDescent="0.15">
      <c r="A802" s="19"/>
      <c r="B802" s="19"/>
      <c r="C802" s="20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</row>
    <row r="803" spans="1:20" ht="17.25" x14ac:dyDescent="0.15">
      <c r="A803" s="19"/>
      <c r="B803" s="19"/>
      <c r="C803" s="20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</row>
    <row r="804" spans="1:20" ht="17.25" x14ac:dyDescent="0.15">
      <c r="A804" s="19"/>
      <c r="B804" s="19"/>
      <c r="C804" s="20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</row>
    <row r="805" spans="1:20" ht="17.25" x14ac:dyDescent="0.15">
      <c r="A805" s="19"/>
      <c r="B805" s="19"/>
      <c r="C805" s="20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</row>
    <row r="806" spans="1:20" ht="17.25" x14ac:dyDescent="0.15">
      <c r="A806" s="19"/>
      <c r="B806" s="19"/>
      <c r="C806" s="20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</row>
    <row r="807" spans="1:20" ht="17.25" x14ac:dyDescent="0.15">
      <c r="A807" s="19"/>
      <c r="B807" s="19"/>
      <c r="C807" s="20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</row>
    <row r="808" spans="1:20" ht="17.25" x14ac:dyDescent="0.15">
      <c r="A808" s="19"/>
      <c r="B808" s="19"/>
      <c r="C808" s="20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</row>
    <row r="809" spans="1:20" ht="17.25" x14ac:dyDescent="0.15">
      <c r="A809" s="19"/>
      <c r="B809" s="19"/>
      <c r="C809" s="20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</row>
    <row r="810" spans="1:20" ht="17.25" x14ac:dyDescent="0.15">
      <c r="A810" s="19"/>
      <c r="B810" s="19"/>
      <c r="C810" s="20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</row>
    <row r="811" spans="1:20" ht="17.25" x14ac:dyDescent="0.15">
      <c r="A811" s="19"/>
      <c r="B811" s="19"/>
      <c r="C811" s="20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</row>
    <row r="812" spans="1:20" ht="17.25" x14ac:dyDescent="0.15">
      <c r="A812" s="19"/>
      <c r="B812" s="19"/>
      <c r="C812" s="20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</row>
    <row r="813" spans="1:20" ht="17.25" x14ac:dyDescent="0.15">
      <c r="A813" s="19"/>
      <c r="B813" s="19"/>
      <c r="C813" s="20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</row>
    <row r="814" spans="1:20" ht="17.25" x14ac:dyDescent="0.15">
      <c r="A814" s="19"/>
      <c r="B814" s="19"/>
      <c r="C814" s="20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</row>
    <row r="815" spans="1:20" ht="17.25" x14ac:dyDescent="0.15">
      <c r="A815" s="19"/>
      <c r="B815" s="19"/>
      <c r="C815" s="20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</row>
    <row r="816" spans="1:20" ht="17.25" x14ac:dyDescent="0.15">
      <c r="A816" s="19"/>
      <c r="B816" s="19"/>
      <c r="C816" s="20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</row>
    <row r="817" spans="1:20" ht="17.25" x14ac:dyDescent="0.15">
      <c r="A817" s="19"/>
      <c r="B817" s="19"/>
      <c r="C817" s="20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</row>
    <row r="818" spans="1:20" ht="17.25" x14ac:dyDescent="0.15">
      <c r="A818" s="19"/>
      <c r="B818" s="19"/>
      <c r="C818" s="20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</row>
    <row r="819" spans="1:20" ht="17.25" x14ac:dyDescent="0.15">
      <c r="A819" s="19"/>
      <c r="B819" s="19"/>
      <c r="C819" s="20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</row>
    <row r="820" spans="1:20" ht="17.25" x14ac:dyDescent="0.15">
      <c r="A820" s="19"/>
      <c r="B820" s="19"/>
      <c r="C820" s="20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</row>
    <row r="821" spans="1:20" ht="17.25" x14ac:dyDescent="0.15">
      <c r="A821" s="19"/>
      <c r="B821" s="19"/>
      <c r="C821" s="20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</row>
    <row r="822" spans="1:20" ht="17.25" x14ac:dyDescent="0.15">
      <c r="A822" s="19"/>
      <c r="B822" s="19"/>
      <c r="C822" s="20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</row>
    <row r="823" spans="1:20" ht="17.25" x14ac:dyDescent="0.15">
      <c r="A823" s="19"/>
      <c r="B823" s="19"/>
      <c r="C823" s="20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</row>
    <row r="824" spans="1:20" ht="17.25" x14ac:dyDescent="0.15">
      <c r="A824" s="19"/>
      <c r="B824" s="19"/>
      <c r="C824" s="20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</row>
    <row r="825" spans="1:20" ht="17.25" x14ac:dyDescent="0.15">
      <c r="A825" s="19"/>
      <c r="B825" s="19"/>
      <c r="C825" s="20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</row>
    <row r="826" spans="1:20" ht="17.25" x14ac:dyDescent="0.15">
      <c r="A826" s="19"/>
      <c r="B826" s="19"/>
      <c r="C826" s="20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</row>
    <row r="827" spans="1:20" ht="17.25" x14ac:dyDescent="0.15">
      <c r="A827" s="19"/>
      <c r="B827" s="19"/>
      <c r="C827" s="20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</row>
    <row r="828" spans="1:20" ht="17.25" x14ac:dyDescent="0.15">
      <c r="A828" s="19"/>
      <c r="B828" s="19"/>
      <c r="C828" s="20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</row>
    <row r="829" spans="1:20" ht="17.25" x14ac:dyDescent="0.15">
      <c r="A829" s="19"/>
      <c r="B829" s="19"/>
      <c r="C829" s="20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</row>
    <row r="830" spans="1:20" ht="17.25" x14ac:dyDescent="0.15">
      <c r="A830" s="19"/>
      <c r="B830" s="19"/>
      <c r="C830" s="20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</row>
    <row r="831" spans="1:20" ht="17.25" x14ac:dyDescent="0.15">
      <c r="A831" s="19"/>
      <c r="B831" s="19"/>
      <c r="C831" s="20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</row>
    <row r="832" spans="1:20" ht="17.25" x14ac:dyDescent="0.15">
      <c r="A832" s="19"/>
      <c r="B832" s="19"/>
      <c r="C832" s="20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</row>
    <row r="833" spans="1:20" ht="17.25" x14ac:dyDescent="0.15">
      <c r="A833" s="19"/>
      <c r="B833" s="19"/>
      <c r="C833" s="20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</row>
    <row r="834" spans="1:20" ht="17.25" x14ac:dyDescent="0.15">
      <c r="A834" s="19"/>
      <c r="B834" s="19"/>
      <c r="C834" s="20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</row>
    <row r="835" spans="1:20" ht="17.25" x14ac:dyDescent="0.15">
      <c r="A835" s="19"/>
      <c r="B835" s="19"/>
      <c r="C835" s="20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</row>
    <row r="836" spans="1:20" ht="17.25" x14ac:dyDescent="0.15">
      <c r="A836" s="19"/>
      <c r="B836" s="19"/>
      <c r="C836" s="20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</row>
    <row r="837" spans="1:20" ht="17.25" x14ac:dyDescent="0.15">
      <c r="A837" s="19"/>
      <c r="B837" s="19"/>
      <c r="C837" s="20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</row>
    <row r="838" spans="1:20" ht="17.25" x14ac:dyDescent="0.15">
      <c r="A838" s="19"/>
      <c r="B838" s="19"/>
      <c r="C838" s="20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</row>
    <row r="839" spans="1:20" ht="17.25" x14ac:dyDescent="0.15">
      <c r="A839" s="19"/>
      <c r="B839" s="19"/>
      <c r="C839" s="20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</row>
    <row r="840" spans="1:20" ht="17.25" x14ac:dyDescent="0.15">
      <c r="A840" s="19"/>
      <c r="B840" s="19"/>
      <c r="C840" s="20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</row>
    <row r="841" spans="1:20" ht="17.25" x14ac:dyDescent="0.15">
      <c r="A841" s="19"/>
      <c r="B841" s="19"/>
      <c r="C841" s="20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</row>
    <row r="842" spans="1:20" ht="17.25" x14ac:dyDescent="0.15">
      <c r="A842" s="19"/>
      <c r="B842" s="19"/>
      <c r="C842" s="20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</row>
    <row r="843" spans="1:20" ht="17.25" x14ac:dyDescent="0.15">
      <c r="A843" s="19"/>
      <c r="B843" s="19"/>
      <c r="C843" s="20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</row>
    <row r="844" spans="1:20" ht="17.25" x14ac:dyDescent="0.15">
      <c r="A844" s="19"/>
      <c r="B844" s="19"/>
      <c r="C844" s="20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</row>
    <row r="845" spans="1:20" ht="17.25" x14ac:dyDescent="0.15">
      <c r="A845" s="19"/>
      <c r="B845" s="19"/>
      <c r="C845" s="20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ht="17.25" x14ac:dyDescent="0.15">
      <c r="A846" s="19"/>
      <c r="B846" s="19"/>
      <c r="C846" s="20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ht="17.25" x14ac:dyDescent="0.1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ht="17.25" x14ac:dyDescent="0.15">
      <c r="A848" s="19"/>
      <c r="B848" s="19"/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0" ht="17.25" x14ac:dyDescent="0.15">
      <c r="A849" s="19"/>
      <c r="B849" s="19"/>
      <c r="C849" s="20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</row>
    <row r="850" spans="1:20" ht="17.25" x14ac:dyDescent="0.15">
      <c r="A850" s="19"/>
      <c r="B850" s="19"/>
      <c r="C850" s="20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</row>
    <row r="851" spans="1:20" ht="17.25" x14ac:dyDescent="0.15">
      <c r="A851" s="19"/>
      <c r="B851" s="19"/>
      <c r="C851" s="20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</row>
    <row r="852" spans="1:20" ht="17.25" x14ac:dyDescent="0.15">
      <c r="A852" s="19"/>
      <c r="B852" s="19"/>
      <c r="C852" s="20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</row>
    <row r="853" spans="1:20" ht="17.25" x14ac:dyDescent="0.15">
      <c r="A853" s="19"/>
      <c r="B853" s="19"/>
      <c r="C853" s="20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</row>
    <row r="854" spans="1:20" ht="17.25" x14ac:dyDescent="0.15">
      <c r="A854" s="19"/>
      <c r="B854" s="19"/>
      <c r="C854" s="20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</row>
    <row r="855" spans="1:20" ht="17.25" x14ac:dyDescent="0.15">
      <c r="A855" s="19"/>
      <c r="B855" s="19"/>
      <c r="C855" s="20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</row>
    <row r="856" spans="1:20" ht="17.25" x14ac:dyDescent="0.15">
      <c r="A856" s="19"/>
      <c r="B856" s="19"/>
      <c r="C856" s="20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</row>
    <row r="857" spans="1:20" ht="17.25" x14ac:dyDescent="0.15">
      <c r="A857" s="19"/>
      <c r="B857" s="19"/>
      <c r="C857" s="20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</row>
    <row r="858" spans="1:20" ht="17.25" x14ac:dyDescent="0.15">
      <c r="A858" s="19"/>
      <c r="B858" s="19"/>
      <c r="C858" s="20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</row>
    <row r="859" spans="1:20" ht="17.25" x14ac:dyDescent="0.15">
      <c r="A859" s="19"/>
      <c r="B859" s="19"/>
      <c r="C859" s="20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</row>
    <row r="860" spans="1:20" ht="17.25" x14ac:dyDescent="0.15">
      <c r="A860" s="19"/>
      <c r="B860" s="19"/>
      <c r="C860" s="20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</row>
    <row r="861" spans="1:20" ht="17.25" x14ac:dyDescent="0.15">
      <c r="A861" s="19"/>
      <c r="B861" s="19"/>
      <c r="C861" s="20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</row>
    <row r="862" spans="1:20" ht="17.25" x14ac:dyDescent="0.15">
      <c r="A862" s="19"/>
      <c r="B862" s="19"/>
      <c r="C862" s="20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</row>
    <row r="863" spans="1:20" ht="17.25" x14ac:dyDescent="0.15">
      <c r="A863" s="19"/>
      <c r="B863" s="19"/>
      <c r="C863" s="20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</row>
    <row r="864" spans="1:20" ht="17.25" x14ac:dyDescent="0.15">
      <c r="A864" s="19"/>
      <c r="B864" s="19"/>
      <c r="C864" s="20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</row>
    <row r="865" spans="1:20" ht="17.25" x14ac:dyDescent="0.15">
      <c r="A865" s="19"/>
      <c r="B865" s="19"/>
      <c r="C865" s="20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</row>
    <row r="866" spans="1:20" ht="17.25" x14ac:dyDescent="0.15">
      <c r="A866" s="19"/>
      <c r="B866" s="19"/>
      <c r="C866" s="20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</row>
    <row r="867" spans="1:20" ht="17.25" x14ac:dyDescent="0.15">
      <c r="A867" s="19"/>
      <c r="B867" s="19"/>
      <c r="C867" s="20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</row>
    <row r="868" spans="1:20" ht="17.25" x14ac:dyDescent="0.15">
      <c r="A868" s="19"/>
      <c r="B868" s="19"/>
      <c r="C868" s="20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</row>
    <row r="869" spans="1:20" ht="17.25" x14ac:dyDescent="0.15">
      <c r="A869" s="19"/>
      <c r="B869" s="19"/>
      <c r="C869" s="20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</row>
    <row r="870" spans="1:20" ht="17.25" x14ac:dyDescent="0.15">
      <c r="A870" s="19"/>
      <c r="B870" s="19"/>
      <c r="C870" s="20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</row>
    <row r="871" spans="1:20" ht="17.25" x14ac:dyDescent="0.15">
      <c r="A871" s="19"/>
      <c r="B871" s="19"/>
      <c r="C871" s="20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</row>
    <row r="872" spans="1:20" ht="17.25" x14ac:dyDescent="0.15">
      <c r="A872" s="19"/>
      <c r="B872" s="19"/>
      <c r="C872" s="20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</row>
    <row r="873" spans="1:20" ht="17.25" x14ac:dyDescent="0.15">
      <c r="A873" s="19"/>
      <c r="B873" s="19"/>
      <c r="C873" s="20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</row>
    <row r="874" spans="1:20" ht="17.25" x14ac:dyDescent="0.15">
      <c r="A874" s="19"/>
      <c r="B874" s="19"/>
      <c r="C874" s="20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</row>
    <row r="875" spans="1:20" ht="17.25" x14ac:dyDescent="0.15">
      <c r="A875" s="19"/>
      <c r="B875" s="19"/>
      <c r="C875" s="20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</row>
    <row r="876" spans="1:20" ht="17.25" x14ac:dyDescent="0.15">
      <c r="A876" s="19"/>
      <c r="B876" s="19"/>
      <c r="C876" s="20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</row>
    <row r="877" spans="1:20" ht="17.25" x14ac:dyDescent="0.15">
      <c r="A877" s="19"/>
      <c r="B877" s="19"/>
      <c r="C877" s="20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</row>
    <row r="878" spans="1:20" ht="17.25" x14ac:dyDescent="0.15">
      <c r="A878" s="19"/>
      <c r="B878" s="19"/>
      <c r="C878" s="20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</row>
    <row r="879" spans="1:20" ht="17.25" x14ac:dyDescent="0.15">
      <c r="A879" s="19"/>
      <c r="B879" s="19"/>
      <c r="C879" s="20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</row>
    <row r="880" spans="1:20" ht="17.25" x14ac:dyDescent="0.15">
      <c r="A880" s="19"/>
      <c r="B880" s="19"/>
      <c r="C880" s="20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</row>
    <row r="881" spans="1:20" ht="17.25" x14ac:dyDescent="0.15">
      <c r="A881" s="19"/>
      <c r="B881" s="19"/>
      <c r="C881" s="20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</row>
    <row r="882" spans="1:20" ht="17.25" x14ac:dyDescent="0.15">
      <c r="A882" s="19"/>
      <c r="B882" s="19"/>
      <c r="C882" s="20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</row>
    <row r="883" spans="1:20" ht="17.25" x14ac:dyDescent="0.15">
      <c r="A883" s="19"/>
      <c r="B883" s="19"/>
      <c r="C883" s="20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</row>
    <row r="884" spans="1:20" ht="17.25" x14ac:dyDescent="0.15">
      <c r="A884" s="19"/>
      <c r="B884" s="19"/>
      <c r="C884" s="20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</row>
    <row r="885" spans="1:20" ht="17.25" x14ac:dyDescent="0.15">
      <c r="A885" s="19"/>
      <c r="B885" s="19"/>
      <c r="C885" s="20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</row>
    <row r="886" spans="1:20" ht="17.25" x14ac:dyDescent="0.15">
      <c r="A886" s="19"/>
      <c r="B886" s="19"/>
      <c r="C886" s="20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</row>
    <row r="887" spans="1:20" ht="17.25" x14ac:dyDescent="0.15">
      <c r="A887" s="19"/>
      <c r="B887" s="19"/>
      <c r="C887" s="20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</row>
    <row r="888" spans="1:20" ht="17.25" x14ac:dyDescent="0.15">
      <c r="A888" s="19"/>
      <c r="B888" s="19"/>
      <c r="C888" s="20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</row>
    <row r="889" spans="1:20" ht="17.25" x14ac:dyDescent="0.15">
      <c r="A889" s="19"/>
      <c r="B889" s="19"/>
      <c r="C889" s="20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</row>
    <row r="890" spans="1:20" ht="17.25" x14ac:dyDescent="0.15">
      <c r="A890" s="19"/>
      <c r="B890" s="19"/>
      <c r="C890" s="20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</row>
    <row r="891" spans="1:20" ht="17.25" x14ac:dyDescent="0.15">
      <c r="A891" s="19"/>
      <c r="B891" s="19"/>
      <c r="C891" s="20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</row>
    <row r="892" spans="1:20" ht="17.25" x14ac:dyDescent="0.15">
      <c r="A892" s="19"/>
      <c r="B892" s="19"/>
      <c r="C892" s="20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</row>
    <row r="893" spans="1:20" ht="17.25" x14ac:dyDescent="0.15">
      <c r="A893" s="19"/>
      <c r="B893" s="19"/>
      <c r="C893" s="20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</row>
    <row r="894" spans="1:20" ht="17.25" x14ac:dyDescent="0.15">
      <c r="A894" s="19"/>
      <c r="B894" s="19"/>
      <c r="C894" s="20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</row>
    <row r="895" spans="1:20" ht="17.25" x14ac:dyDescent="0.15">
      <c r="A895" s="19"/>
      <c r="B895" s="19"/>
      <c r="C895" s="20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</row>
    <row r="896" spans="1:20" ht="17.25" x14ac:dyDescent="0.15">
      <c r="A896" s="19"/>
      <c r="B896" s="19"/>
      <c r="C896" s="20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</row>
    <row r="897" spans="1:20" ht="17.25" x14ac:dyDescent="0.15">
      <c r="A897" s="19"/>
      <c r="B897" s="19"/>
      <c r="C897" s="20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</row>
    <row r="898" spans="1:20" ht="17.25" x14ac:dyDescent="0.15">
      <c r="A898" s="19"/>
      <c r="B898" s="19"/>
      <c r="C898" s="20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0" ht="17.25" x14ac:dyDescent="0.15">
      <c r="A899" s="19"/>
      <c r="B899" s="19"/>
      <c r="C899" s="20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0" ht="17.25" x14ac:dyDescent="0.1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0" ht="17.25" x14ac:dyDescent="0.15">
      <c r="A901" s="19"/>
      <c r="B901" s="19"/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0" ht="17.25" x14ac:dyDescent="0.15">
      <c r="A902" s="19"/>
      <c r="B902" s="19"/>
      <c r="C902" s="20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</row>
    <row r="903" spans="1:20" ht="17.25" x14ac:dyDescent="0.15">
      <c r="A903" s="19"/>
      <c r="B903" s="19"/>
      <c r="C903" s="20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</row>
    <row r="904" spans="1:20" ht="17.25" x14ac:dyDescent="0.15">
      <c r="A904" s="19"/>
      <c r="B904" s="19"/>
      <c r="C904" s="20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</row>
    <row r="905" spans="1:20" ht="17.25" x14ac:dyDescent="0.15">
      <c r="A905" s="19"/>
      <c r="B905" s="19"/>
      <c r="C905" s="20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</row>
    <row r="906" spans="1:20" ht="17.25" x14ac:dyDescent="0.15">
      <c r="A906" s="19"/>
      <c r="B906" s="19"/>
      <c r="C906" s="20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</row>
    <row r="907" spans="1:20" ht="17.25" x14ac:dyDescent="0.15">
      <c r="A907" s="19"/>
      <c r="B907" s="19"/>
      <c r="C907" s="20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</row>
    <row r="908" spans="1:20" ht="17.25" x14ac:dyDescent="0.15">
      <c r="A908" s="19"/>
      <c r="B908" s="19"/>
      <c r="C908" s="20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</row>
    <row r="909" spans="1:20" ht="17.25" x14ac:dyDescent="0.15">
      <c r="A909" s="19"/>
      <c r="B909" s="19"/>
      <c r="C909" s="20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</row>
    <row r="910" spans="1:20" ht="17.25" x14ac:dyDescent="0.15">
      <c r="A910" s="19"/>
      <c r="B910" s="19"/>
      <c r="C910" s="20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</row>
    <row r="911" spans="1:20" ht="17.25" x14ac:dyDescent="0.15">
      <c r="A911" s="19"/>
      <c r="B911" s="19"/>
      <c r="C911" s="20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</row>
    <row r="912" spans="1:20" ht="17.25" x14ac:dyDescent="0.15">
      <c r="A912" s="19"/>
      <c r="B912" s="19"/>
      <c r="C912" s="20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</row>
    <row r="913" spans="1:20" ht="17.25" x14ac:dyDescent="0.15">
      <c r="A913" s="19"/>
      <c r="B913" s="19"/>
      <c r="C913" s="20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</row>
    <row r="914" spans="1:20" ht="17.25" x14ac:dyDescent="0.15">
      <c r="A914" s="19"/>
      <c r="B914" s="19"/>
      <c r="C914" s="20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</row>
    <row r="915" spans="1:20" ht="17.25" x14ac:dyDescent="0.15">
      <c r="A915" s="19"/>
      <c r="B915" s="19"/>
      <c r="C915" s="20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</row>
    <row r="916" spans="1:20" ht="17.25" x14ac:dyDescent="0.15">
      <c r="A916" s="19"/>
      <c r="B916" s="19"/>
      <c r="C916" s="20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</row>
    <row r="917" spans="1:20" ht="17.25" x14ac:dyDescent="0.15">
      <c r="A917" s="19"/>
      <c r="B917" s="19"/>
      <c r="C917" s="20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</row>
    <row r="918" spans="1:20" ht="17.25" x14ac:dyDescent="0.15">
      <c r="A918" s="19"/>
      <c r="B918" s="19"/>
      <c r="C918" s="20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</row>
    <row r="919" spans="1:20" ht="17.25" x14ac:dyDescent="0.15">
      <c r="A919" s="19"/>
      <c r="B919" s="19"/>
      <c r="C919" s="20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</row>
    <row r="920" spans="1:20" ht="17.25" x14ac:dyDescent="0.15">
      <c r="A920" s="19"/>
      <c r="B920" s="19"/>
      <c r="C920" s="20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</row>
    <row r="921" spans="1:20" ht="17.25" x14ac:dyDescent="0.15">
      <c r="A921" s="19"/>
      <c r="B921" s="19"/>
      <c r="C921" s="20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</row>
    <row r="922" spans="1:20" ht="17.25" x14ac:dyDescent="0.15">
      <c r="A922" s="19"/>
      <c r="B922" s="19"/>
      <c r="C922" s="20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</row>
    <row r="923" spans="1:20" ht="17.25" x14ac:dyDescent="0.15">
      <c r="A923" s="19"/>
      <c r="B923" s="19"/>
      <c r="C923" s="20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</row>
    <row r="924" spans="1:20" ht="17.25" x14ac:dyDescent="0.15">
      <c r="A924" s="19"/>
      <c r="B924" s="19"/>
      <c r="C924" s="20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</row>
    <row r="925" spans="1:20" ht="17.25" x14ac:dyDescent="0.15">
      <c r="A925" s="19"/>
      <c r="B925" s="19"/>
      <c r="C925" s="20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</row>
    <row r="926" spans="1:20" ht="17.25" x14ac:dyDescent="0.15">
      <c r="A926" s="19"/>
      <c r="B926" s="19"/>
      <c r="C926" s="20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</row>
    <row r="927" spans="1:20" ht="17.25" x14ac:dyDescent="0.15">
      <c r="A927" s="19"/>
      <c r="B927" s="19"/>
      <c r="C927" s="20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</row>
    <row r="928" spans="1:20" ht="17.25" x14ac:dyDescent="0.15">
      <c r="A928" s="19"/>
      <c r="B928" s="19"/>
      <c r="C928" s="20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</row>
    <row r="929" spans="1:20" ht="17.25" x14ac:dyDescent="0.15">
      <c r="A929" s="19"/>
      <c r="B929" s="19"/>
      <c r="C929" s="20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</row>
    <row r="930" spans="1:20" ht="17.25" x14ac:dyDescent="0.15">
      <c r="A930" s="19"/>
      <c r="B930" s="19"/>
      <c r="C930" s="20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</row>
    <row r="931" spans="1:20" ht="17.25" x14ac:dyDescent="0.15">
      <c r="A931" s="19"/>
      <c r="B931" s="19"/>
      <c r="C931" s="20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</row>
    <row r="932" spans="1:20" ht="17.25" x14ac:dyDescent="0.15">
      <c r="A932" s="19"/>
      <c r="B932" s="19"/>
      <c r="C932" s="20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</row>
    <row r="933" spans="1:20" ht="17.25" x14ac:dyDescent="0.15">
      <c r="A933" s="19"/>
      <c r="B933" s="19"/>
      <c r="C933" s="20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</row>
    <row r="934" spans="1:20" ht="17.25" x14ac:dyDescent="0.15">
      <c r="A934" s="19"/>
      <c r="B934" s="19"/>
      <c r="C934" s="20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</row>
    <row r="935" spans="1:20" ht="17.25" x14ac:dyDescent="0.15">
      <c r="A935" s="19"/>
      <c r="B935" s="19"/>
      <c r="C935" s="20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</row>
    <row r="936" spans="1:20" ht="17.25" x14ac:dyDescent="0.15">
      <c r="A936" s="19"/>
      <c r="B936" s="19"/>
      <c r="C936" s="20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</row>
    <row r="937" spans="1:20" ht="17.25" x14ac:dyDescent="0.15">
      <c r="A937" s="19"/>
      <c r="B937" s="19"/>
      <c r="C937" s="20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</row>
    <row r="938" spans="1:20" ht="17.25" x14ac:dyDescent="0.15">
      <c r="A938" s="19"/>
      <c r="B938" s="19"/>
      <c r="C938" s="20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</row>
    <row r="939" spans="1:20" ht="17.25" x14ac:dyDescent="0.15">
      <c r="A939" s="19"/>
      <c r="B939" s="19"/>
      <c r="C939" s="20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</row>
    <row r="940" spans="1:20" ht="17.25" x14ac:dyDescent="0.15">
      <c r="A940" s="19"/>
      <c r="B940" s="19"/>
      <c r="C940" s="20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</row>
    <row r="941" spans="1:20" ht="17.25" x14ac:dyDescent="0.15">
      <c r="A941" s="19"/>
      <c r="B941" s="19"/>
      <c r="C941" s="20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</row>
    <row r="942" spans="1:20" ht="17.25" x14ac:dyDescent="0.15">
      <c r="A942" s="19"/>
      <c r="B942" s="19"/>
      <c r="C942" s="20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</row>
    <row r="943" spans="1:20" ht="17.25" x14ac:dyDescent="0.15">
      <c r="A943" s="19"/>
      <c r="B943" s="19"/>
      <c r="C943" s="20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</row>
    <row r="944" spans="1:20" ht="17.25" x14ac:dyDescent="0.15">
      <c r="A944" s="19"/>
      <c r="B944" s="19"/>
      <c r="C944" s="20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</row>
    <row r="945" spans="1:20" ht="17.25" x14ac:dyDescent="0.15">
      <c r="A945" s="19"/>
      <c r="B945" s="19"/>
      <c r="C945" s="20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</row>
    <row r="946" spans="1:20" ht="17.25" x14ac:dyDescent="0.15">
      <c r="A946" s="19"/>
      <c r="B946" s="19"/>
      <c r="C946" s="20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</row>
    <row r="947" spans="1:20" ht="17.25" x14ac:dyDescent="0.15">
      <c r="A947" s="19"/>
      <c r="B947" s="19"/>
      <c r="C947" s="20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</row>
    <row r="948" spans="1:20" ht="17.25" x14ac:dyDescent="0.15">
      <c r="A948" s="19"/>
      <c r="B948" s="19"/>
      <c r="C948" s="20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</row>
    <row r="949" spans="1:20" ht="17.25" x14ac:dyDescent="0.15">
      <c r="A949" s="19"/>
      <c r="B949" s="19"/>
      <c r="C949" s="20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</row>
    <row r="950" spans="1:20" ht="17.25" x14ac:dyDescent="0.15">
      <c r="A950" s="19"/>
      <c r="B950" s="19"/>
      <c r="C950" s="20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</row>
    <row r="951" spans="1:20" ht="17.25" x14ac:dyDescent="0.15">
      <c r="A951" s="19"/>
      <c r="B951" s="19"/>
      <c r="C951" s="20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0" ht="17.25" x14ac:dyDescent="0.15">
      <c r="A952" s="19"/>
      <c r="B952" s="19"/>
      <c r="C952" s="20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0" ht="17.25" x14ac:dyDescent="0.1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0" ht="17.25" x14ac:dyDescent="0.15">
      <c r="A954" s="19"/>
      <c r="B954" s="19"/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0" ht="17.25" x14ac:dyDescent="0.15">
      <c r="A955" s="19"/>
      <c r="B955" s="19"/>
      <c r="C955" s="20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</row>
    <row r="956" spans="1:20" ht="17.25" x14ac:dyDescent="0.15">
      <c r="A956" s="19"/>
      <c r="B956" s="19"/>
      <c r="C956" s="20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</row>
    <row r="957" spans="1:20" ht="17.25" x14ac:dyDescent="0.15">
      <c r="A957" s="19"/>
      <c r="B957" s="19"/>
      <c r="C957" s="20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</row>
    <row r="958" spans="1:20" ht="17.25" x14ac:dyDescent="0.15">
      <c r="A958" s="19"/>
      <c r="B958" s="19"/>
      <c r="C958" s="20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</row>
    <row r="959" spans="1:20" ht="17.25" x14ac:dyDescent="0.15">
      <c r="A959" s="19"/>
      <c r="B959" s="19"/>
      <c r="C959" s="20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</row>
    <row r="960" spans="1:20" ht="17.25" x14ac:dyDescent="0.15">
      <c r="A960" s="19"/>
      <c r="B960" s="19"/>
      <c r="C960" s="20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</row>
    <row r="961" spans="1:20" ht="17.25" x14ac:dyDescent="0.15">
      <c r="A961" s="19"/>
      <c r="B961" s="19"/>
      <c r="C961" s="20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</row>
    <row r="962" spans="1:20" ht="17.25" x14ac:dyDescent="0.15">
      <c r="A962" s="19"/>
      <c r="B962" s="19"/>
      <c r="C962" s="20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</row>
    <row r="963" spans="1:20" ht="17.25" x14ac:dyDescent="0.15">
      <c r="A963" s="19"/>
      <c r="B963" s="19"/>
      <c r="C963" s="20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</row>
    <row r="964" spans="1:20" ht="17.25" x14ac:dyDescent="0.15">
      <c r="A964" s="19"/>
      <c r="B964" s="19"/>
      <c r="C964" s="20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</row>
    <row r="965" spans="1:20" ht="17.25" x14ac:dyDescent="0.15">
      <c r="A965" s="19"/>
      <c r="B965" s="19"/>
      <c r="C965" s="20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</row>
    <row r="966" spans="1:20" ht="17.25" x14ac:dyDescent="0.15">
      <c r="A966" s="19"/>
      <c r="B966" s="19"/>
      <c r="C966" s="20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2384D"/>
    <outlinePr summaryBelow="0" summaryRight="0"/>
  </sheetPr>
  <dimension ref="A1:G819"/>
  <sheetViews>
    <sheetView workbookViewId="0">
      <selection activeCell="D15" sqref="D15"/>
    </sheetView>
  </sheetViews>
  <sheetFormatPr defaultColWidth="12.5390625" defaultRowHeight="15.75" customHeight="1" outlineLevelRow="2" x14ac:dyDescent="0.15"/>
  <cols>
    <col min="1" max="1" width="43.28515625" customWidth="1"/>
    <col min="2" max="2" width="9.57421875" customWidth="1"/>
    <col min="3" max="3" width="11.32421875" customWidth="1"/>
    <col min="4" max="4" width="16.71875" customWidth="1"/>
    <col min="5" max="5" width="13.88671875" customWidth="1"/>
    <col min="6" max="6" width="15.1015625" customWidth="1"/>
    <col min="7" max="7" width="17.39453125" customWidth="1"/>
  </cols>
  <sheetData>
    <row r="1" spans="1:7" ht="42.75" customHeight="1" x14ac:dyDescent="0.15">
      <c r="A1" s="19"/>
      <c r="B1" s="19"/>
      <c r="C1" s="19"/>
      <c r="D1" s="19"/>
      <c r="E1" s="19"/>
      <c r="F1" s="19"/>
      <c r="G1" s="19"/>
    </row>
    <row r="2" spans="1:7" ht="27.75" customHeight="1" x14ac:dyDescent="0.15">
      <c r="A2" s="161" t="s">
        <v>27</v>
      </c>
      <c r="B2" s="162"/>
      <c r="C2" s="162"/>
      <c r="D2" s="162"/>
      <c r="E2" s="162"/>
      <c r="F2" s="162"/>
      <c r="G2" s="162"/>
    </row>
    <row r="3" spans="1:7" ht="36" x14ac:dyDescent="0.4">
      <c r="A3" s="5" t="s">
        <v>28</v>
      </c>
      <c r="B3" s="5" t="s">
        <v>29</v>
      </c>
      <c r="C3" s="5" t="s">
        <v>30</v>
      </c>
      <c r="D3" s="5" t="s">
        <v>31</v>
      </c>
      <c r="E3" s="5" t="s">
        <v>32</v>
      </c>
      <c r="F3" s="23" t="s">
        <v>33</v>
      </c>
      <c r="G3" s="23" t="s">
        <v>34</v>
      </c>
    </row>
    <row r="4" spans="1:7" ht="17.25" x14ac:dyDescent="0.3">
      <c r="A4" s="24" t="s">
        <v>35</v>
      </c>
      <c r="B4" s="25" t="str">
        <f>'ДАННЫЕ ИСХОДНЫЕ'!A3</f>
        <v>ТОО  "////"</v>
      </c>
      <c r="C4" s="26">
        <v>1</v>
      </c>
      <c r="D4" s="27" t="s">
        <v>36</v>
      </c>
      <c r="E4" s="27">
        <f>SUM(E5:E8)</f>
        <v>62391168</v>
      </c>
      <c r="F4" s="28">
        <f>E5*2.8</f>
        <v>125999999.99999999</v>
      </c>
      <c r="G4" s="29">
        <f>100%-(E4/F4)</f>
        <v>0.50483199999999995</v>
      </c>
    </row>
    <row r="5" spans="1:7" ht="17.25" outlineLevel="1" x14ac:dyDescent="0.3">
      <c r="A5" s="30" t="s">
        <v>37</v>
      </c>
      <c r="B5" s="31" t="str">
        <f t="shared" ref="B5:B8" si="0">B4</f>
        <v>ТОО  "////"</v>
      </c>
      <c r="C5" s="32">
        <v>1</v>
      </c>
      <c r="D5" s="33" t="s">
        <v>36</v>
      </c>
      <c r="E5" s="33">
        <v>45000000</v>
      </c>
      <c r="F5" s="34">
        <f t="shared" ref="F5:F8" si="1">F4</f>
        <v>125999999.99999999</v>
      </c>
      <c r="G5" s="35"/>
    </row>
    <row r="6" spans="1:7" ht="17.25" outlineLevel="1" x14ac:dyDescent="0.3">
      <c r="A6" s="30" t="s">
        <v>38</v>
      </c>
      <c r="B6" s="31" t="str">
        <f t="shared" si="0"/>
        <v>ТОО  "////"</v>
      </c>
      <c r="C6" s="32">
        <v>1</v>
      </c>
      <c r="D6" s="33" t="s">
        <v>36</v>
      </c>
      <c r="E6" s="33">
        <f>14000*470</f>
        <v>6580000</v>
      </c>
      <c r="F6" s="34">
        <f t="shared" si="1"/>
        <v>125999999.99999999</v>
      </c>
      <c r="G6" s="35"/>
    </row>
    <row r="7" spans="1:7" ht="17.25" outlineLevel="1" x14ac:dyDescent="0.3">
      <c r="A7" s="30" t="s">
        <v>39</v>
      </c>
      <c r="B7" s="31" t="str">
        <f t="shared" si="0"/>
        <v>ТОО  "////"</v>
      </c>
      <c r="C7" s="32">
        <v>1</v>
      </c>
      <c r="D7" s="33" t="s">
        <v>36</v>
      </c>
      <c r="E7" s="33">
        <f>(E5+E6)*8%</f>
        <v>4126400</v>
      </c>
      <c r="F7" s="34">
        <f t="shared" si="1"/>
        <v>125999999.99999999</v>
      </c>
      <c r="G7" s="35"/>
    </row>
    <row r="8" spans="1:7" ht="17.25" outlineLevel="1" x14ac:dyDescent="0.3">
      <c r="A8" s="36" t="s">
        <v>40</v>
      </c>
      <c r="B8" s="37" t="str">
        <f t="shared" si="0"/>
        <v>ТОО  "////"</v>
      </c>
      <c r="C8" s="38">
        <v>1</v>
      </c>
      <c r="D8" s="39" t="s">
        <v>36</v>
      </c>
      <c r="E8" s="39">
        <f>(E5+E6+E7)*12%</f>
        <v>6684768</v>
      </c>
      <c r="F8" s="34">
        <f t="shared" si="1"/>
        <v>125999999.99999999</v>
      </c>
      <c r="G8" s="40"/>
    </row>
    <row r="9" spans="1:7" ht="13.5" customHeight="1" x14ac:dyDescent="0.15">
      <c r="A9" s="19"/>
      <c r="B9" s="19"/>
      <c r="C9" s="19"/>
      <c r="D9" s="19"/>
      <c r="E9" s="19"/>
      <c r="F9" s="19"/>
      <c r="G9" s="19"/>
    </row>
    <row r="10" spans="1:7" ht="24" x14ac:dyDescent="0.15">
      <c r="A10" s="41"/>
      <c r="B10" s="41"/>
      <c r="C10" s="41"/>
      <c r="D10" s="41"/>
      <c r="E10" s="41"/>
      <c r="F10" s="41"/>
      <c r="G10" s="41"/>
    </row>
    <row r="11" spans="1:7" ht="12.75" x14ac:dyDescent="0.15">
      <c r="A11" s="161" t="s">
        <v>41</v>
      </c>
      <c r="B11" s="162"/>
      <c r="C11" s="162"/>
      <c r="D11" s="162"/>
      <c r="E11" s="162"/>
      <c r="F11" s="162"/>
      <c r="G11" s="162"/>
    </row>
    <row r="12" spans="1:7" ht="17.25" customHeight="1" x14ac:dyDescent="0.15">
      <c r="A12" s="19"/>
      <c r="B12" s="19"/>
      <c r="C12" s="19"/>
      <c r="D12" s="19"/>
      <c r="E12" s="19"/>
      <c r="F12" s="19"/>
      <c r="G12" s="19"/>
    </row>
    <row r="13" spans="1:7" ht="25.5" customHeight="1" outlineLevel="1" x14ac:dyDescent="0.3">
      <c r="A13" s="42" t="s">
        <v>42</v>
      </c>
      <c r="B13" s="43">
        <f>B15+B22</f>
        <v>1</v>
      </c>
      <c r="C13" s="44"/>
      <c r="D13" s="45">
        <f>F18+F25</f>
        <v>125999999.99999999</v>
      </c>
      <c r="E13" s="46">
        <f>E18+E25</f>
        <v>63546168</v>
      </c>
      <c r="F13" s="45">
        <f>D13-E13</f>
        <v>62453831.999999985</v>
      </c>
      <c r="G13" s="19"/>
    </row>
    <row r="14" spans="1:7" ht="17.25" x14ac:dyDescent="0.15">
      <c r="A14" s="19"/>
      <c r="B14" s="19"/>
      <c r="C14" s="19"/>
      <c r="D14" s="19"/>
      <c r="E14" s="19"/>
      <c r="F14" s="19"/>
      <c r="G14" s="19"/>
    </row>
    <row r="15" spans="1:7" ht="17.25" x14ac:dyDescent="0.3">
      <c r="A15" s="47" t="s">
        <v>43</v>
      </c>
      <c r="B15" s="48">
        <v>0.5</v>
      </c>
      <c r="C15" s="49"/>
      <c r="D15" s="50"/>
      <c r="E15" s="19"/>
      <c r="F15" s="19"/>
      <c r="G15" s="19"/>
    </row>
    <row r="16" spans="1:7" ht="17.25" outlineLevel="1" x14ac:dyDescent="0.15">
      <c r="A16" s="19"/>
      <c r="B16" s="19"/>
      <c r="C16" s="19"/>
      <c r="D16" s="19"/>
      <c r="E16" s="19"/>
      <c r="F16" s="19"/>
      <c r="G16" s="19"/>
    </row>
    <row r="17" spans="1:7" ht="36" outlineLevel="1" x14ac:dyDescent="0.4">
      <c r="A17" s="5" t="s">
        <v>44</v>
      </c>
      <c r="B17" s="5" t="s">
        <v>29</v>
      </c>
      <c r="C17" s="5" t="s">
        <v>30</v>
      </c>
      <c r="D17" s="5" t="s">
        <v>31</v>
      </c>
      <c r="E17" s="5" t="s">
        <v>45</v>
      </c>
      <c r="F17" s="23" t="s">
        <v>46</v>
      </c>
      <c r="G17" s="23" t="s">
        <v>47</v>
      </c>
    </row>
    <row r="18" spans="1:7" ht="17.25" outlineLevel="1" x14ac:dyDescent="0.3">
      <c r="A18" s="24" t="s">
        <v>48</v>
      </c>
      <c r="B18" s="25" t="str">
        <f>'ДАННЫЕ ИСХОДНЫЕ'!A3</f>
        <v>ТОО  "////"</v>
      </c>
      <c r="C18" s="27">
        <f>B15*1</f>
        <v>0.5</v>
      </c>
      <c r="D18" s="27" t="s">
        <v>36</v>
      </c>
      <c r="E18" s="27">
        <f t="shared" ref="E18:F18" si="2">E19+E20</f>
        <v>32350584</v>
      </c>
      <c r="F18" s="27">
        <f t="shared" si="2"/>
        <v>62999999.999999993</v>
      </c>
      <c r="G18" s="29">
        <f>100%-(E18/F18)</f>
        <v>0.48649866666666663</v>
      </c>
    </row>
    <row r="19" spans="1:7" ht="17.25" outlineLevel="2" x14ac:dyDescent="0.3">
      <c r="A19" s="30" t="s">
        <v>49</v>
      </c>
      <c r="B19" s="31" t="str">
        <f t="shared" ref="B19:C19" si="3">B18</f>
        <v>ТОО  "////"</v>
      </c>
      <c r="C19" s="33">
        <f t="shared" si="3"/>
        <v>0.5</v>
      </c>
      <c r="D19" s="33" t="s">
        <v>36</v>
      </c>
      <c r="E19" s="33">
        <f>B15*E4</f>
        <v>31195584</v>
      </c>
      <c r="F19" s="33">
        <f>($F$4*C19)</f>
        <v>62999999.999999993</v>
      </c>
      <c r="G19" s="35"/>
    </row>
    <row r="20" spans="1:7" ht="17.25" outlineLevel="2" x14ac:dyDescent="0.3">
      <c r="A20" s="30" t="s">
        <v>50</v>
      </c>
      <c r="B20" s="31" t="str">
        <f t="shared" ref="B20:C20" si="4">B19</f>
        <v>ТОО  "////"</v>
      </c>
      <c r="C20" s="33">
        <f t="shared" si="4"/>
        <v>0.5</v>
      </c>
      <c r="D20" s="33" t="s">
        <v>36</v>
      </c>
      <c r="E20" s="33">
        <f>300*3850</f>
        <v>1155000</v>
      </c>
      <c r="F20" s="33"/>
      <c r="G20" s="35"/>
    </row>
    <row r="21" spans="1:7" ht="17.25" x14ac:dyDescent="0.15">
      <c r="A21" s="19"/>
      <c r="B21" s="19"/>
      <c r="C21" s="19"/>
      <c r="D21" s="19"/>
      <c r="E21" s="19"/>
      <c r="F21" s="19"/>
      <c r="G21" s="19"/>
    </row>
    <row r="22" spans="1:7" ht="17.25" x14ac:dyDescent="0.3">
      <c r="A22" s="30" t="s">
        <v>51</v>
      </c>
      <c r="B22" s="48">
        <v>0.5</v>
      </c>
      <c r="C22" s="49"/>
      <c r="D22" s="50"/>
      <c r="E22" s="19"/>
      <c r="F22" s="19"/>
      <c r="G22" s="19"/>
    </row>
    <row r="23" spans="1:7" ht="17.25" outlineLevel="1" x14ac:dyDescent="0.15">
      <c r="A23" s="19"/>
      <c r="B23" s="19"/>
      <c r="C23" s="19"/>
      <c r="D23" s="19"/>
      <c r="E23" s="19"/>
      <c r="F23" s="19"/>
      <c r="G23" s="19"/>
    </row>
    <row r="24" spans="1:7" ht="36" outlineLevel="1" x14ac:dyDescent="0.4">
      <c r="A24" s="51" t="s">
        <v>44</v>
      </c>
      <c r="B24" s="51" t="s">
        <v>29</v>
      </c>
      <c r="C24" s="51" t="s">
        <v>30</v>
      </c>
      <c r="D24" s="51" t="s">
        <v>31</v>
      </c>
      <c r="E24" s="51" t="s">
        <v>32</v>
      </c>
      <c r="F24" s="52" t="s">
        <v>33</v>
      </c>
      <c r="G24" s="52" t="s">
        <v>47</v>
      </c>
    </row>
    <row r="25" spans="1:7" ht="17.25" outlineLevel="1" x14ac:dyDescent="0.3">
      <c r="A25" s="53" t="s">
        <v>52</v>
      </c>
      <c r="B25" s="25" t="str">
        <f t="shared" ref="B25:B26" si="5">B18</f>
        <v>ТОО  "////"</v>
      </c>
      <c r="C25" s="27">
        <f>B22*1</f>
        <v>0.5</v>
      </c>
      <c r="D25" s="27" t="s">
        <v>36</v>
      </c>
      <c r="E25" s="27">
        <f>E26</f>
        <v>31195584</v>
      </c>
      <c r="F25" s="27">
        <f>SUM(F26)</f>
        <v>62999999.999999993</v>
      </c>
      <c r="G25" s="29">
        <f>100%-(E25/F25)</f>
        <v>0.50483199999999995</v>
      </c>
    </row>
    <row r="26" spans="1:7" ht="17.25" outlineLevel="2" x14ac:dyDescent="0.3">
      <c r="A26" s="30" t="s">
        <v>53</v>
      </c>
      <c r="B26" s="31" t="str">
        <f t="shared" si="5"/>
        <v>ТОО  "////"</v>
      </c>
      <c r="C26" s="33">
        <f>C25</f>
        <v>0.5</v>
      </c>
      <c r="D26" s="33" t="s">
        <v>36</v>
      </c>
      <c r="E26" s="33">
        <f>B22*E4</f>
        <v>31195584</v>
      </c>
      <c r="F26" s="33">
        <f>$F$4*C26</f>
        <v>62999999.999999993</v>
      </c>
      <c r="G26" s="35"/>
    </row>
    <row r="27" spans="1:7" ht="17.25" x14ac:dyDescent="0.15">
      <c r="A27" s="19"/>
      <c r="B27" s="19"/>
      <c r="C27" s="19"/>
      <c r="D27" s="19"/>
      <c r="E27" s="19"/>
      <c r="F27" s="19"/>
      <c r="G27" s="19"/>
    </row>
    <row r="28" spans="1:7" ht="17.25" x14ac:dyDescent="0.15">
      <c r="A28" s="19"/>
      <c r="B28" s="19"/>
      <c r="C28" s="19"/>
      <c r="D28" s="19"/>
      <c r="E28" s="19"/>
      <c r="F28" s="19"/>
      <c r="G28" s="19"/>
    </row>
    <row r="29" spans="1:7" ht="17.25" x14ac:dyDescent="0.15">
      <c r="A29" s="19"/>
      <c r="B29" s="19"/>
      <c r="C29" s="19"/>
      <c r="D29" s="19"/>
      <c r="E29" s="19"/>
      <c r="F29" s="19"/>
      <c r="G29" s="19"/>
    </row>
    <row r="30" spans="1:7" ht="17.25" x14ac:dyDescent="0.15">
      <c r="A30" s="19"/>
      <c r="B30" s="19"/>
      <c r="C30" s="19"/>
      <c r="D30" s="19"/>
      <c r="E30" s="19"/>
      <c r="F30" s="19"/>
      <c r="G30" s="19"/>
    </row>
    <row r="31" spans="1:7" ht="17.25" x14ac:dyDescent="0.15">
      <c r="A31" s="19"/>
      <c r="B31" s="19"/>
      <c r="C31" s="19"/>
      <c r="D31" s="19"/>
      <c r="E31" s="19"/>
      <c r="F31" s="19"/>
      <c r="G31" s="19"/>
    </row>
    <row r="32" spans="1:7" ht="17.25" x14ac:dyDescent="0.15">
      <c r="A32" s="19"/>
      <c r="B32" s="19"/>
      <c r="C32" s="19"/>
      <c r="D32" s="19"/>
      <c r="E32" s="19"/>
      <c r="F32" s="19"/>
      <c r="G32" s="19"/>
    </row>
    <row r="33" spans="1:7" ht="17.25" x14ac:dyDescent="0.15">
      <c r="A33" s="19"/>
      <c r="B33" s="19"/>
      <c r="C33" s="19"/>
      <c r="D33" s="19"/>
      <c r="E33" s="19"/>
      <c r="F33" s="19"/>
      <c r="G33" s="19"/>
    </row>
    <row r="34" spans="1:7" ht="17.25" x14ac:dyDescent="0.15">
      <c r="A34" s="19"/>
      <c r="B34" s="19"/>
      <c r="C34" s="19"/>
      <c r="D34" s="19"/>
      <c r="E34" s="19"/>
      <c r="F34" s="19"/>
      <c r="G34" s="19"/>
    </row>
    <row r="35" spans="1:7" ht="17.25" x14ac:dyDescent="0.15">
      <c r="A35" s="19"/>
      <c r="B35" s="19"/>
      <c r="C35" s="19"/>
      <c r="D35" s="19"/>
      <c r="E35" s="19"/>
      <c r="F35" s="19"/>
      <c r="G35" s="19"/>
    </row>
    <row r="36" spans="1:7" ht="17.25" x14ac:dyDescent="0.15">
      <c r="A36" s="19"/>
      <c r="B36" s="19"/>
      <c r="C36" s="19"/>
      <c r="D36" s="19"/>
      <c r="E36" s="19"/>
      <c r="F36" s="19"/>
      <c r="G36" s="19"/>
    </row>
    <row r="37" spans="1:7" ht="17.25" x14ac:dyDescent="0.15">
      <c r="A37" s="19"/>
      <c r="B37" s="19"/>
      <c r="C37" s="19"/>
      <c r="D37" s="19"/>
      <c r="E37" s="19"/>
      <c r="F37" s="19"/>
      <c r="G37" s="19"/>
    </row>
    <row r="38" spans="1:7" ht="17.25" x14ac:dyDescent="0.15">
      <c r="A38" s="19"/>
      <c r="B38" s="19"/>
      <c r="C38" s="19"/>
      <c r="D38" s="19"/>
      <c r="E38" s="19"/>
      <c r="F38" s="19"/>
      <c r="G38" s="19"/>
    </row>
    <row r="39" spans="1:7" ht="17.25" x14ac:dyDescent="0.15">
      <c r="A39" s="19"/>
      <c r="B39" s="19"/>
      <c r="C39" s="19"/>
      <c r="D39" s="19"/>
      <c r="E39" s="19"/>
      <c r="F39" s="19"/>
      <c r="G39" s="19"/>
    </row>
    <row r="40" spans="1:7" ht="17.25" x14ac:dyDescent="0.15">
      <c r="A40" s="19"/>
      <c r="B40" s="19"/>
      <c r="C40" s="19"/>
      <c r="D40" s="19"/>
      <c r="E40" s="19"/>
      <c r="F40" s="19"/>
      <c r="G40" s="19"/>
    </row>
    <row r="41" spans="1:7" ht="17.25" x14ac:dyDescent="0.15">
      <c r="A41" s="19"/>
      <c r="B41" s="19"/>
      <c r="C41" s="19"/>
      <c r="D41" s="19"/>
      <c r="E41" s="19"/>
      <c r="F41" s="19"/>
      <c r="G41" s="19"/>
    </row>
    <row r="42" spans="1:7" ht="17.25" x14ac:dyDescent="0.15">
      <c r="A42" s="19"/>
      <c r="B42" s="19"/>
      <c r="C42" s="19"/>
      <c r="D42" s="19"/>
      <c r="E42" s="19"/>
      <c r="F42" s="19"/>
      <c r="G42" s="19"/>
    </row>
    <row r="43" spans="1:7" ht="17.25" x14ac:dyDescent="0.15">
      <c r="A43" s="19"/>
      <c r="B43" s="19"/>
      <c r="C43" s="19"/>
      <c r="D43" s="19"/>
      <c r="E43" s="19"/>
      <c r="F43" s="19"/>
      <c r="G43" s="19"/>
    </row>
    <row r="44" spans="1:7" ht="17.25" x14ac:dyDescent="0.15">
      <c r="A44" s="19"/>
      <c r="B44" s="19"/>
      <c r="C44" s="19"/>
      <c r="D44" s="19"/>
      <c r="E44" s="19"/>
      <c r="F44" s="19"/>
      <c r="G44" s="19"/>
    </row>
    <row r="45" spans="1:7" ht="17.25" x14ac:dyDescent="0.15">
      <c r="A45" s="19"/>
      <c r="B45" s="19"/>
      <c r="C45" s="19"/>
      <c r="D45" s="19"/>
      <c r="E45" s="19"/>
      <c r="F45" s="19"/>
      <c r="G45" s="19"/>
    </row>
    <row r="46" spans="1:7" ht="17.25" x14ac:dyDescent="0.15">
      <c r="A46" s="19"/>
      <c r="B46" s="19"/>
      <c r="C46" s="19"/>
      <c r="D46" s="19"/>
      <c r="E46" s="19"/>
      <c r="F46" s="19"/>
      <c r="G46" s="19"/>
    </row>
    <row r="47" spans="1:7" ht="17.25" x14ac:dyDescent="0.15">
      <c r="A47" s="19"/>
      <c r="B47" s="19"/>
      <c r="C47" s="19"/>
      <c r="D47" s="19"/>
      <c r="E47" s="19"/>
      <c r="F47" s="19"/>
      <c r="G47" s="19"/>
    </row>
    <row r="48" spans="1:7" ht="17.25" x14ac:dyDescent="0.15">
      <c r="A48" s="19"/>
      <c r="B48" s="19"/>
      <c r="C48" s="19"/>
      <c r="D48" s="19"/>
      <c r="E48" s="19"/>
      <c r="F48" s="19"/>
      <c r="G48" s="19"/>
    </row>
    <row r="49" spans="1:7" ht="17.25" x14ac:dyDescent="0.15">
      <c r="A49" s="19"/>
      <c r="B49" s="19"/>
      <c r="C49" s="19"/>
      <c r="D49" s="19"/>
      <c r="E49" s="19"/>
      <c r="F49" s="19"/>
      <c r="G49" s="19"/>
    </row>
    <row r="50" spans="1:7" ht="17.25" x14ac:dyDescent="0.15">
      <c r="A50" s="19"/>
      <c r="B50" s="19"/>
      <c r="C50" s="19"/>
      <c r="D50" s="19"/>
      <c r="E50" s="19"/>
      <c r="F50" s="19"/>
      <c r="G50" s="19"/>
    </row>
    <row r="51" spans="1:7" ht="17.25" x14ac:dyDescent="0.15">
      <c r="A51" s="19"/>
      <c r="B51" s="19"/>
      <c r="C51" s="19"/>
      <c r="D51" s="19"/>
      <c r="E51" s="19"/>
      <c r="F51" s="19"/>
      <c r="G51" s="19"/>
    </row>
    <row r="52" spans="1:7" ht="17.25" x14ac:dyDescent="0.15">
      <c r="A52" s="19"/>
      <c r="B52" s="19"/>
      <c r="C52" s="19"/>
      <c r="D52" s="19"/>
      <c r="E52" s="19"/>
      <c r="F52" s="19"/>
      <c r="G52" s="19"/>
    </row>
    <row r="53" spans="1:7" ht="17.25" x14ac:dyDescent="0.15">
      <c r="A53" s="19"/>
      <c r="B53" s="19"/>
      <c r="C53" s="19"/>
      <c r="D53" s="19"/>
      <c r="E53" s="19"/>
      <c r="F53" s="19"/>
      <c r="G53" s="19"/>
    </row>
    <row r="54" spans="1:7" ht="17.25" x14ac:dyDescent="0.15">
      <c r="A54" s="19"/>
      <c r="B54" s="19"/>
      <c r="C54" s="19"/>
      <c r="D54" s="19"/>
      <c r="E54" s="19"/>
      <c r="F54" s="19"/>
      <c r="G54" s="19"/>
    </row>
    <row r="55" spans="1:7" ht="17.25" x14ac:dyDescent="0.15">
      <c r="A55" s="19"/>
      <c r="B55" s="19"/>
      <c r="C55" s="19"/>
      <c r="D55" s="19"/>
      <c r="E55" s="19"/>
      <c r="F55" s="19"/>
      <c r="G55" s="19"/>
    </row>
    <row r="56" spans="1:7" ht="17.25" x14ac:dyDescent="0.15">
      <c r="A56" s="19"/>
      <c r="B56" s="19"/>
      <c r="C56" s="19"/>
      <c r="D56" s="19"/>
      <c r="E56" s="19"/>
      <c r="F56" s="19"/>
      <c r="G56" s="19"/>
    </row>
    <row r="57" spans="1:7" ht="17.25" x14ac:dyDescent="0.15">
      <c r="A57" s="19"/>
      <c r="B57" s="19"/>
      <c r="C57" s="19"/>
      <c r="D57" s="19"/>
      <c r="E57" s="19"/>
      <c r="F57" s="19"/>
      <c r="G57" s="19"/>
    </row>
    <row r="58" spans="1:7" ht="17.25" x14ac:dyDescent="0.15">
      <c r="A58" s="19"/>
      <c r="B58" s="19"/>
      <c r="C58" s="19"/>
      <c r="D58" s="19"/>
      <c r="E58" s="19"/>
      <c r="F58" s="19"/>
      <c r="G58" s="19"/>
    </row>
    <row r="59" spans="1:7" ht="17.25" x14ac:dyDescent="0.15">
      <c r="A59" s="19"/>
      <c r="B59" s="19"/>
      <c r="C59" s="19"/>
      <c r="D59" s="19"/>
      <c r="E59" s="19"/>
      <c r="F59" s="19"/>
      <c r="G59" s="19"/>
    </row>
    <row r="60" spans="1:7" ht="17.25" x14ac:dyDescent="0.15">
      <c r="A60" s="19"/>
      <c r="B60" s="19"/>
      <c r="C60" s="19"/>
      <c r="D60" s="19"/>
      <c r="E60" s="19"/>
      <c r="F60" s="19"/>
      <c r="G60" s="19"/>
    </row>
    <row r="61" spans="1:7" ht="17.25" x14ac:dyDescent="0.15">
      <c r="A61" s="19"/>
      <c r="B61" s="19"/>
      <c r="C61" s="19"/>
      <c r="D61" s="19"/>
      <c r="E61" s="19"/>
      <c r="F61" s="19"/>
      <c r="G61" s="19"/>
    </row>
    <row r="62" spans="1:7" ht="17.25" x14ac:dyDescent="0.15">
      <c r="A62" s="19"/>
      <c r="B62" s="19"/>
      <c r="C62" s="19"/>
      <c r="D62" s="19"/>
      <c r="E62" s="19"/>
      <c r="F62" s="19"/>
      <c r="G62" s="19"/>
    </row>
    <row r="63" spans="1:7" ht="17.25" x14ac:dyDescent="0.15">
      <c r="A63" s="19"/>
      <c r="B63" s="19"/>
      <c r="C63" s="19"/>
      <c r="D63" s="19"/>
      <c r="E63" s="19"/>
      <c r="F63" s="19"/>
      <c r="G63" s="19"/>
    </row>
    <row r="64" spans="1:7" ht="17.25" x14ac:dyDescent="0.15">
      <c r="A64" s="19"/>
      <c r="B64" s="19"/>
      <c r="C64" s="19"/>
      <c r="D64" s="19"/>
      <c r="E64" s="19"/>
      <c r="F64" s="19"/>
      <c r="G64" s="19"/>
    </row>
    <row r="65" spans="1:7" ht="17.25" x14ac:dyDescent="0.15">
      <c r="A65" s="19"/>
      <c r="B65" s="19"/>
      <c r="C65" s="19"/>
      <c r="D65" s="19"/>
      <c r="E65" s="19"/>
      <c r="F65" s="19"/>
      <c r="G65" s="19"/>
    </row>
    <row r="66" spans="1:7" ht="17.25" x14ac:dyDescent="0.15">
      <c r="A66" s="19"/>
      <c r="B66" s="19"/>
      <c r="C66" s="19"/>
      <c r="D66" s="19"/>
      <c r="E66" s="19"/>
      <c r="F66" s="19"/>
      <c r="G66" s="19"/>
    </row>
    <row r="67" spans="1:7" ht="17.25" x14ac:dyDescent="0.15">
      <c r="A67" s="19"/>
      <c r="B67" s="19"/>
      <c r="C67" s="19"/>
      <c r="D67" s="19"/>
      <c r="E67" s="19"/>
      <c r="F67" s="19"/>
      <c r="G67" s="19"/>
    </row>
    <row r="68" spans="1:7" ht="17.25" x14ac:dyDescent="0.15">
      <c r="A68" s="19"/>
      <c r="B68" s="19"/>
      <c r="C68" s="19"/>
      <c r="D68" s="19"/>
      <c r="E68" s="19"/>
      <c r="F68" s="19"/>
      <c r="G68" s="19"/>
    </row>
    <row r="69" spans="1:7" ht="17.25" x14ac:dyDescent="0.15">
      <c r="A69" s="19"/>
      <c r="B69" s="19"/>
      <c r="C69" s="19"/>
      <c r="D69" s="19"/>
      <c r="E69" s="19"/>
      <c r="F69" s="19"/>
      <c r="G69" s="19"/>
    </row>
    <row r="70" spans="1:7" ht="17.25" x14ac:dyDescent="0.15">
      <c r="A70" s="19"/>
      <c r="B70" s="19"/>
      <c r="C70" s="19"/>
      <c r="D70" s="19"/>
      <c r="E70" s="19"/>
      <c r="F70" s="19"/>
      <c r="G70" s="19"/>
    </row>
    <row r="71" spans="1:7" ht="17.25" x14ac:dyDescent="0.15">
      <c r="A71" s="19"/>
      <c r="B71" s="19"/>
      <c r="C71" s="19"/>
      <c r="D71" s="19"/>
      <c r="E71" s="19"/>
      <c r="F71" s="19"/>
      <c r="G71" s="19"/>
    </row>
    <row r="72" spans="1:7" ht="17.25" x14ac:dyDescent="0.15">
      <c r="A72" s="19"/>
      <c r="B72" s="19"/>
      <c r="C72" s="19"/>
      <c r="D72" s="19"/>
      <c r="E72" s="19"/>
      <c r="F72" s="19"/>
      <c r="G72" s="19"/>
    </row>
    <row r="73" spans="1:7" ht="17.25" x14ac:dyDescent="0.15">
      <c r="A73" s="19"/>
      <c r="B73" s="19"/>
      <c r="C73" s="19"/>
      <c r="D73" s="19"/>
      <c r="E73" s="19"/>
      <c r="F73" s="19"/>
      <c r="G73" s="19"/>
    </row>
    <row r="74" spans="1:7" ht="17.25" x14ac:dyDescent="0.15">
      <c r="A74" s="19"/>
      <c r="B74" s="19"/>
      <c r="C74" s="19"/>
      <c r="D74" s="19"/>
      <c r="E74" s="19"/>
      <c r="F74" s="19"/>
      <c r="G74" s="19"/>
    </row>
    <row r="75" spans="1:7" ht="17.25" x14ac:dyDescent="0.15">
      <c r="A75" s="19"/>
      <c r="B75" s="19"/>
      <c r="C75" s="19"/>
      <c r="D75" s="19"/>
      <c r="E75" s="19"/>
      <c r="F75" s="19"/>
      <c r="G75" s="19"/>
    </row>
    <row r="76" spans="1:7" ht="17.25" x14ac:dyDescent="0.15">
      <c r="A76" s="19"/>
      <c r="B76" s="19"/>
      <c r="C76" s="19"/>
      <c r="D76" s="19"/>
      <c r="E76" s="19"/>
      <c r="F76" s="19"/>
      <c r="G76" s="19"/>
    </row>
    <row r="77" spans="1:7" ht="17.25" x14ac:dyDescent="0.15">
      <c r="A77" s="19"/>
      <c r="B77" s="19"/>
      <c r="C77" s="19"/>
      <c r="D77" s="19"/>
      <c r="E77" s="19"/>
      <c r="F77" s="19"/>
      <c r="G77" s="19"/>
    </row>
    <row r="78" spans="1:7" ht="17.25" x14ac:dyDescent="0.15">
      <c r="A78" s="19"/>
      <c r="B78" s="19"/>
      <c r="C78" s="19"/>
      <c r="D78" s="19"/>
      <c r="E78" s="19"/>
      <c r="F78" s="19"/>
      <c r="G78" s="19"/>
    </row>
    <row r="79" spans="1:7" ht="17.25" x14ac:dyDescent="0.15">
      <c r="A79" s="19"/>
      <c r="B79" s="19"/>
      <c r="C79" s="19"/>
      <c r="D79" s="19"/>
      <c r="E79" s="19"/>
      <c r="F79" s="19"/>
      <c r="G79" s="19"/>
    </row>
    <row r="80" spans="1:7" ht="17.25" x14ac:dyDescent="0.15">
      <c r="A80" s="19"/>
      <c r="B80" s="19"/>
      <c r="C80" s="19"/>
      <c r="D80" s="19"/>
      <c r="E80" s="19"/>
      <c r="F80" s="19"/>
      <c r="G80" s="19"/>
    </row>
    <row r="81" spans="1:7" ht="17.25" x14ac:dyDescent="0.15">
      <c r="A81" s="19"/>
      <c r="B81" s="19"/>
      <c r="C81" s="19"/>
      <c r="D81" s="19"/>
      <c r="E81" s="19"/>
      <c r="F81" s="19"/>
      <c r="G81" s="19"/>
    </row>
    <row r="82" spans="1:7" ht="17.25" x14ac:dyDescent="0.15">
      <c r="A82" s="19"/>
      <c r="B82" s="19"/>
      <c r="C82" s="19"/>
      <c r="D82" s="19"/>
      <c r="E82" s="19"/>
      <c r="F82" s="19"/>
      <c r="G82" s="19"/>
    </row>
    <row r="83" spans="1:7" ht="17.25" x14ac:dyDescent="0.15">
      <c r="A83" s="19"/>
      <c r="B83" s="19"/>
      <c r="C83" s="19"/>
      <c r="D83" s="19"/>
      <c r="E83" s="19"/>
      <c r="F83" s="19"/>
      <c r="G83" s="19"/>
    </row>
    <row r="84" spans="1:7" ht="17.25" x14ac:dyDescent="0.15">
      <c r="A84" s="19"/>
      <c r="B84" s="19"/>
      <c r="C84" s="19"/>
      <c r="D84" s="19"/>
      <c r="E84" s="19"/>
      <c r="F84" s="19"/>
      <c r="G84" s="19"/>
    </row>
    <row r="85" spans="1:7" ht="17.25" x14ac:dyDescent="0.15">
      <c r="A85" s="19"/>
      <c r="B85" s="19"/>
      <c r="C85" s="19"/>
      <c r="D85" s="19"/>
      <c r="E85" s="19"/>
      <c r="F85" s="19"/>
      <c r="G85" s="19"/>
    </row>
    <row r="86" spans="1:7" ht="17.25" x14ac:dyDescent="0.15">
      <c r="A86" s="19"/>
      <c r="B86" s="19"/>
      <c r="C86" s="19"/>
      <c r="D86" s="19"/>
      <c r="E86" s="19"/>
      <c r="F86" s="19"/>
      <c r="G86" s="19"/>
    </row>
    <row r="87" spans="1:7" ht="17.25" x14ac:dyDescent="0.15">
      <c r="A87" s="19"/>
      <c r="B87" s="19"/>
      <c r="C87" s="19"/>
      <c r="D87" s="19"/>
      <c r="E87" s="19"/>
      <c r="F87" s="19"/>
      <c r="G87" s="19"/>
    </row>
    <row r="88" spans="1:7" ht="17.25" x14ac:dyDescent="0.15">
      <c r="A88" s="19"/>
      <c r="B88" s="19"/>
      <c r="C88" s="19"/>
      <c r="D88" s="19"/>
      <c r="E88" s="19"/>
      <c r="F88" s="19"/>
      <c r="G88" s="19"/>
    </row>
    <row r="89" spans="1:7" ht="17.25" x14ac:dyDescent="0.15">
      <c r="A89" s="19"/>
      <c r="B89" s="19"/>
      <c r="C89" s="19"/>
      <c r="D89" s="19"/>
      <c r="E89" s="19"/>
      <c r="F89" s="19"/>
      <c r="G89" s="19"/>
    </row>
    <row r="90" spans="1:7" ht="17.25" x14ac:dyDescent="0.15">
      <c r="A90" s="19"/>
      <c r="B90" s="19"/>
      <c r="C90" s="19"/>
      <c r="D90" s="19"/>
      <c r="E90" s="19"/>
      <c r="F90" s="19"/>
      <c r="G90" s="19"/>
    </row>
    <row r="91" spans="1:7" ht="17.25" x14ac:dyDescent="0.15">
      <c r="A91" s="19"/>
      <c r="B91" s="19"/>
      <c r="C91" s="19"/>
      <c r="D91" s="19"/>
      <c r="E91" s="19"/>
      <c r="F91" s="19"/>
      <c r="G91" s="19"/>
    </row>
    <row r="92" spans="1:7" ht="17.25" x14ac:dyDescent="0.15">
      <c r="A92" s="19"/>
      <c r="B92" s="19"/>
      <c r="C92" s="19"/>
      <c r="D92" s="19"/>
      <c r="E92" s="19"/>
      <c r="F92" s="19"/>
      <c r="G92" s="19"/>
    </row>
    <row r="93" spans="1:7" ht="17.25" x14ac:dyDescent="0.15">
      <c r="A93" s="19"/>
      <c r="B93" s="19"/>
      <c r="C93" s="19"/>
      <c r="D93" s="19"/>
      <c r="E93" s="19"/>
      <c r="F93" s="19"/>
      <c r="G93" s="19"/>
    </row>
    <row r="94" spans="1:7" ht="17.25" x14ac:dyDescent="0.15">
      <c r="A94" s="19"/>
      <c r="B94" s="19"/>
      <c r="C94" s="19"/>
      <c r="D94" s="19"/>
      <c r="E94" s="19"/>
      <c r="F94" s="19"/>
      <c r="G94" s="19"/>
    </row>
    <row r="95" spans="1:7" ht="17.25" x14ac:dyDescent="0.15">
      <c r="A95" s="19"/>
      <c r="B95" s="19"/>
      <c r="C95" s="19"/>
      <c r="D95" s="19"/>
      <c r="E95" s="19"/>
      <c r="F95" s="19"/>
      <c r="G95" s="19"/>
    </row>
    <row r="96" spans="1:7" ht="17.25" x14ac:dyDescent="0.15">
      <c r="A96" s="19"/>
      <c r="B96" s="19"/>
      <c r="C96" s="19"/>
      <c r="D96" s="19"/>
      <c r="E96" s="19"/>
      <c r="F96" s="19"/>
      <c r="G96" s="19"/>
    </row>
    <row r="97" spans="1:7" ht="17.25" x14ac:dyDescent="0.15">
      <c r="A97" s="19"/>
      <c r="B97" s="19"/>
      <c r="C97" s="19"/>
      <c r="D97" s="19"/>
      <c r="E97" s="19"/>
      <c r="F97" s="19"/>
      <c r="G97" s="19"/>
    </row>
    <row r="98" spans="1:7" ht="17.25" x14ac:dyDescent="0.15">
      <c r="A98" s="19"/>
      <c r="B98" s="19"/>
      <c r="C98" s="19"/>
      <c r="D98" s="19"/>
      <c r="E98" s="19"/>
      <c r="F98" s="19"/>
      <c r="G98" s="19"/>
    </row>
    <row r="99" spans="1:7" ht="17.25" x14ac:dyDescent="0.15">
      <c r="A99" s="19"/>
      <c r="B99" s="19"/>
      <c r="C99" s="19"/>
      <c r="D99" s="19"/>
      <c r="E99" s="19"/>
      <c r="F99" s="19"/>
      <c r="G99" s="19"/>
    </row>
    <row r="100" spans="1:7" ht="17.25" x14ac:dyDescent="0.15">
      <c r="A100" s="19"/>
      <c r="B100" s="19"/>
      <c r="C100" s="19"/>
      <c r="D100" s="19"/>
      <c r="E100" s="19"/>
      <c r="F100" s="19"/>
      <c r="G100" s="19"/>
    </row>
    <row r="101" spans="1:7" ht="17.25" x14ac:dyDescent="0.15">
      <c r="A101" s="19"/>
      <c r="B101" s="19"/>
      <c r="C101" s="19"/>
      <c r="D101" s="19"/>
      <c r="E101" s="19"/>
      <c r="F101" s="19"/>
      <c r="G101" s="19"/>
    </row>
    <row r="102" spans="1:7" ht="17.25" x14ac:dyDescent="0.15">
      <c r="A102" s="19"/>
      <c r="B102" s="19"/>
      <c r="C102" s="19"/>
      <c r="D102" s="19"/>
      <c r="E102" s="19"/>
      <c r="F102" s="19"/>
      <c r="G102" s="19"/>
    </row>
    <row r="103" spans="1:7" ht="17.25" x14ac:dyDescent="0.15">
      <c r="A103" s="19"/>
      <c r="B103" s="19"/>
      <c r="C103" s="19"/>
      <c r="D103" s="19"/>
      <c r="E103" s="19"/>
      <c r="F103" s="19"/>
      <c r="G103" s="19"/>
    </row>
    <row r="104" spans="1:7" ht="17.25" x14ac:dyDescent="0.15">
      <c r="A104" s="19"/>
      <c r="B104" s="19"/>
      <c r="C104" s="19"/>
      <c r="D104" s="19"/>
      <c r="E104" s="19"/>
      <c r="F104" s="19"/>
      <c r="G104" s="19"/>
    </row>
    <row r="105" spans="1:7" ht="17.25" x14ac:dyDescent="0.15">
      <c r="A105" s="19"/>
      <c r="B105" s="19"/>
      <c r="C105" s="19"/>
      <c r="D105" s="19"/>
      <c r="E105" s="19"/>
      <c r="F105" s="19"/>
      <c r="G105" s="19"/>
    </row>
    <row r="106" spans="1:7" ht="17.25" x14ac:dyDescent="0.15">
      <c r="A106" s="19"/>
      <c r="B106" s="19"/>
      <c r="C106" s="19"/>
      <c r="D106" s="19"/>
      <c r="E106" s="19"/>
      <c r="F106" s="19"/>
      <c r="G106" s="19"/>
    </row>
    <row r="107" spans="1:7" ht="17.25" x14ac:dyDescent="0.15">
      <c r="A107" s="19"/>
      <c r="B107" s="19"/>
      <c r="C107" s="19"/>
      <c r="D107" s="19"/>
      <c r="E107" s="19"/>
      <c r="F107" s="19"/>
      <c r="G107" s="19"/>
    </row>
    <row r="108" spans="1:7" ht="17.25" x14ac:dyDescent="0.15">
      <c r="A108" s="19"/>
      <c r="B108" s="19"/>
      <c r="C108" s="19"/>
      <c r="D108" s="19"/>
      <c r="E108" s="19"/>
      <c r="F108" s="19"/>
      <c r="G108" s="19"/>
    </row>
    <row r="109" spans="1:7" ht="17.25" x14ac:dyDescent="0.15">
      <c r="A109" s="19"/>
      <c r="B109" s="19"/>
      <c r="C109" s="19"/>
      <c r="D109" s="19"/>
      <c r="E109" s="19"/>
      <c r="F109" s="19"/>
      <c r="G109" s="19"/>
    </row>
    <row r="110" spans="1:7" ht="17.25" x14ac:dyDescent="0.15">
      <c r="A110" s="19"/>
      <c r="B110" s="19"/>
      <c r="C110" s="19"/>
      <c r="D110" s="19"/>
      <c r="E110" s="19"/>
      <c r="F110" s="19"/>
      <c r="G110" s="19"/>
    </row>
    <row r="111" spans="1:7" ht="17.25" x14ac:dyDescent="0.15">
      <c r="A111" s="19"/>
      <c r="B111" s="19"/>
      <c r="C111" s="19"/>
      <c r="D111" s="19"/>
      <c r="E111" s="19"/>
      <c r="F111" s="19"/>
      <c r="G111" s="19"/>
    </row>
    <row r="112" spans="1:7" ht="17.25" x14ac:dyDescent="0.15">
      <c r="A112" s="19"/>
      <c r="B112" s="19"/>
      <c r="C112" s="19"/>
      <c r="D112" s="19"/>
      <c r="E112" s="19"/>
      <c r="F112" s="19"/>
      <c r="G112" s="19"/>
    </row>
    <row r="113" spans="1:7" ht="17.25" x14ac:dyDescent="0.15">
      <c r="A113" s="19"/>
      <c r="B113" s="19"/>
      <c r="C113" s="19"/>
      <c r="D113" s="19"/>
      <c r="E113" s="19"/>
      <c r="F113" s="19"/>
      <c r="G113" s="19"/>
    </row>
    <row r="114" spans="1:7" ht="17.25" x14ac:dyDescent="0.15">
      <c r="A114" s="19"/>
      <c r="B114" s="19"/>
      <c r="C114" s="19"/>
      <c r="D114" s="19"/>
      <c r="E114" s="19"/>
      <c r="F114" s="19"/>
      <c r="G114" s="19"/>
    </row>
    <row r="115" spans="1:7" ht="17.25" x14ac:dyDescent="0.15">
      <c r="A115" s="19"/>
      <c r="B115" s="19"/>
      <c r="C115" s="19"/>
      <c r="D115" s="19"/>
      <c r="E115" s="19"/>
      <c r="F115" s="19"/>
      <c r="G115" s="19"/>
    </row>
    <row r="116" spans="1:7" ht="17.25" x14ac:dyDescent="0.15">
      <c r="A116" s="19"/>
      <c r="B116" s="19"/>
      <c r="C116" s="19"/>
      <c r="D116" s="19"/>
      <c r="E116" s="19"/>
      <c r="F116" s="19"/>
      <c r="G116" s="19"/>
    </row>
    <row r="117" spans="1:7" ht="17.25" x14ac:dyDescent="0.15">
      <c r="A117" s="19"/>
      <c r="B117" s="19"/>
      <c r="C117" s="19"/>
      <c r="D117" s="19"/>
      <c r="E117" s="19"/>
      <c r="F117" s="19"/>
      <c r="G117" s="19"/>
    </row>
    <row r="118" spans="1:7" ht="17.25" x14ac:dyDescent="0.15">
      <c r="A118" s="19"/>
      <c r="B118" s="19"/>
      <c r="C118" s="19"/>
      <c r="D118" s="19"/>
      <c r="E118" s="19"/>
      <c r="F118" s="19"/>
      <c r="G118" s="19"/>
    </row>
    <row r="119" spans="1:7" ht="17.25" x14ac:dyDescent="0.15">
      <c r="A119" s="19"/>
      <c r="B119" s="19"/>
      <c r="C119" s="19"/>
      <c r="D119" s="19"/>
      <c r="E119" s="19"/>
      <c r="F119" s="19"/>
      <c r="G119" s="19"/>
    </row>
    <row r="120" spans="1:7" ht="17.25" x14ac:dyDescent="0.15">
      <c r="A120" s="19"/>
      <c r="B120" s="19"/>
      <c r="C120" s="19"/>
      <c r="D120" s="19"/>
      <c r="E120" s="19"/>
      <c r="F120" s="19"/>
      <c r="G120" s="19"/>
    </row>
    <row r="121" spans="1:7" ht="17.25" x14ac:dyDescent="0.15">
      <c r="A121" s="19"/>
      <c r="B121" s="19"/>
      <c r="C121" s="19"/>
      <c r="D121" s="19"/>
      <c r="E121" s="19"/>
      <c r="F121" s="19"/>
      <c r="G121" s="19"/>
    </row>
    <row r="122" spans="1:7" ht="17.25" x14ac:dyDescent="0.15">
      <c r="A122" s="19"/>
      <c r="B122" s="19"/>
      <c r="C122" s="19"/>
      <c r="D122" s="19"/>
      <c r="E122" s="19"/>
      <c r="F122" s="19"/>
      <c r="G122" s="19"/>
    </row>
    <row r="123" spans="1:7" ht="17.25" x14ac:dyDescent="0.15">
      <c r="A123" s="19"/>
      <c r="B123" s="19"/>
      <c r="C123" s="19"/>
      <c r="D123" s="19"/>
      <c r="E123" s="19"/>
      <c r="F123" s="19"/>
      <c r="G123" s="19"/>
    </row>
    <row r="124" spans="1:7" ht="17.25" x14ac:dyDescent="0.15">
      <c r="A124" s="19"/>
      <c r="B124" s="19"/>
      <c r="C124" s="19"/>
      <c r="D124" s="19"/>
      <c r="E124" s="19"/>
      <c r="F124" s="19"/>
      <c r="G124" s="19"/>
    </row>
    <row r="125" spans="1:7" ht="17.25" x14ac:dyDescent="0.15">
      <c r="A125" s="19"/>
      <c r="B125" s="19"/>
      <c r="C125" s="19"/>
      <c r="D125" s="19"/>
      <c r="E125" s="19"/>
      <c r="F125" s="19"/>
      <c r="G125" s="19"/>
    </row>
    <row r="126" spans="1:7" ht="17.25" x14ac:dyDescent="0.15">
      <c r="A126" s="19"/>
      <c r="B126" s="19"/>
      <c r="C126" s="19"/>
      <c r="D126" s="19"/>
      <c r="E126" s="19"/>
      <c r="F126" s="19"/>
      <c r="G126" s="19"/>
    </row>
    <row r="127" spans="1:7" ht="17.25" x14ac:dyDescent="0.15">
      <c r="A127" s="19"/>
      <c r="B127" s="19"/>
      <c r="C127" s="19"/>
      <c r="D127" s="19"/>
      <c r="E127" s="19"/>
      <c r="F127" s="19"/>
      <c r="G127" s="19"/>
    </row>
    <row r="128" spans="1:7" ht="17.25" x14ac:dyDescent="0.15">
      <c r="A128" s="19"/>
      <c r="B128" s="19"/>
      <c r="C128" s="19"/>
      <c r="D128" s="19"/>
      <c r="E128" s="19"/>
      <c r="F128" s="19"/>
      <c r="G128" s="19"/>
    </row>
    <row r="129" spans="1:7" ht="17.25" x14ac:dyDescent="0.15">
      <c r="A129" s="19"/>
      <c r="B129" s="19"/>
      <c r="C129" s="19"/>
      <c r="D129" s="19"/>
      <c r="E129" s="19"/>
      <c r="F129" s="19"/>
      <c r="G129" s="19"/>
    </row>
    <row r="130" spans="1:7" ht="17.25" x14ac:dyDescent="0.15">
      <c r="A130" s="19"/>
      <c r="B130" s="19"/>
      <c r="C130" s="19"/>
      <c r="D130" s="19"/>
      <c r="E130" s="19"/>
      <c r="F130" s="19"/>
      <c r="G130" s="19"/>
    </row>
    <row r="131" spans="1:7" ht="17.25" x14ac:dyDescent="0.15">
      <c r="A131" s="19"/>
      <c r="B131" s="19"/>
      <c r="C131" s="19"/>
      <c r="D131" s="19"/>
      <c r="E131" s="19"/>
      <c r="F131" s="19"/>
      <c r="G131" s="19"/>
    </row>
    <row r="132" spans="1:7" ht="17.25" x14ac:dyDescent="0.15">
      <c r="A132" s="19"/>
      <c r="B132" s="19"/>
      <c r="C132" s="19"/>
      <c r="D132" s="19"/>
      <c r="E132" s="19"/>
      <c r="F132" s="19"/>
      <c r="G132" s="19"/>
    </row>
    <row r="133" spans="1:7" ht="17.25" x14ac:dyDescent="0.15">
      <c r="A133" s="19"/>
      <c r="B133" s="19"/>
      <c r="C133" s="19"/>
      <c r="D133" s="19"/>
      <c r="E133" s="19"/>
      <c r="F133" s="19"/>
      <c r="G133" s="19"/>
    </row>
    <row r="134" spans="1:7" ht="17.25" x14ac:dyDescent="0.15">
      <c r="A134" s="19"/>
      <c r="B134" s="19"/>
      <c r="C134" s="19"/>
      <c r="D134" s="19"/>
      <c r="E134" s="19"/>
      <c r="F134" s="19"/>
      <c r="G134" s="19"/>
    </row>
    <row r="135" spans="1:7" ht="17.25" x14ac:dyDescent="0.15">
      <c r="A135" s="19"/>
      <c r="B135" s="19"/>
      <c r="C135" s="19"/>
      <c r="D135" s="19"/>
      <c r="E135" s="19"/>
      <c r="F135" s="19"/>
      <c r="G135" s="19"/>
    </row>
    <row r="136" spans="1:7" ht="17.25" x14ac:dyDescent="0.15">
      <c r="A136" s="19"/>
      <c r="B136" s="19"/>
      <c r="C136" s="19"/>
      <c r="D136" s="19"/>
      <c r="E136" s="19"/>
      <c r="F136" s="19"/>
      <c r="G136" s="19"/>
    </row>
    <row r="137" spans="1:7" ht="17.25" x14ac:dyDescent="0.15">
      <c r="A137" s="19"/>
      <c r="B137" s="19"/>
      <c r="C137" s="19"/>
      <c r="D137" s="19"/>
      <c r="E137" s="19"/>
      <c r="F137" s="19"/>
      <c r="G137" s="19"/>
    </row>
    <row r="138" spans="1:7" ht="17.25" x14ac:dyDescent="0.15">
      <c r="A138" s="19"/>
      <c r="B138" s="19"/>
      <c r="C138" s="19"/>
      <c r="D138" s="19"/>
      <c r="E138" s="19"/>
      <c r="F138" s="19"/>
      <c r="G138" s="19"/>
    </row>
    <row r="139" spans="1:7" ht="17.25" x14ac:dyDescent="0.15">
      <c r="A139" s="19"/>
      <c r="B139" s="19"/>
      <c r="C139" s="19"/>
      <c r="D139" s="19"/>
      <c r="E139" s="19"/>
      <c r="F139" s="19"/>
      <c r="G139" s="19"/>
    </row>
    <row r="140" spans="1:7" ht="17.25" x14ac:dyDescent="0.15">
      <c r="A140" s="19"/>
      <c r="B140" s="19"/>
      <c r="C140" s="19"/>
      <c r="D140" s="19"/>
      <c r="E140" s="19"/>
      <c r="F140" s="19"/>
      <c r="G140" s="19"/>
    </row>
    <row r="141" spans="1:7" ht="17.25" x14ac:dyDescent="0.15">
      <c r="A141" s="19"/>
      <c r="B141" s="19"/>
      <c r="C141" s="19"/>
      <c r="D141" s="19"/>
      <c r="E141" s="19"/>
      <c r="F141" s="19"/>
      <c r="G141" s="19"/>
    </row>
    <row r="142" spans="1:7" ht="17.25" x14ac:dyDescent="0.15">
      <c r="A142" s="19"/>
      <c r="B142" s="19"/>
      <c r="C142" s="19"/>
      <c r="D142" s="19"/>
      <c r="E142" s="19"/>
      <c r="F142" s="19"/>
      <c r="G142" s="19"/>
    </row>
    <row r="143" spans="1:7" ht="17.25" x14ac:dyDescent="0.15">
      <c r="A143" s="19"/>
      <c r="B143" s="19"/>
      <c r="C143" s="19"/>
      <c r="D143" s="19"/>
      <c r="E143" s="19"/>
      <c r="F143" s="19"/>
      <c r="G143" s="19"/>
    </row>
    <row r="144" spans="1:7" ht="17.25" x14ac:dyDescent="0.15">
      <c r="A144" s="19"/>
      <c r="B144" s="19"/>
      <c r="C144" s="19"/>
      <c r="D144" s="19"/>
      <c r="E144" s="19"/>
      <c r="F144" s="19"/>
      <c r="G144" s="19"/>
    </row>
    <row r="145" spans="1:7" ht="17.25" x14ac:dyDescent="0.15">
      <c r="A145" s="19"/>
      <c r="B145" s="19"/>
      <c r="C145" s="19"/>
      <c r="D145" s="19"/>
      <c r="E145" s="19"/>
      <c r="F145" s="19"/>
      <c r="G145" s="19"/>
    </row>
    <row r="146" spans="1:7" ht="17.25" x14ac:dyDescent="0.15">
      <c r="A146" s="19"/>
      <c r="B146" s="19"/>
      <c r="C146" s="19"/>
      <c r="D146" s="19"/>
      <c r="E146" s="19"/>
      <c r="F146" s="19"/>
      <c r="G146" s="19"/>
    </row>
    <row r="147" spans="1:7" ht="17.25" x14ac:dyDescent="0.15">
      <c r="A147" s="19"/>
      <c r="B147" s="19"/>
      <c r="C147" s="19"/>
      <c r="D147" s="19"/>
      <c r="E147" s="19"/>
      <c r="F147" s="19"/>
      <c r="G147" s="19"/>
    </row>
    <row r="148" spans="1:7" ht="17.25" x14ac:dyDescent="0.15">
      <c r="A148" s="19"/>
      <c r="B148" s="19"/>
      <c r="C148" s="19"/>
      <c r="D148" s="19"/>
      <c r="E148" s="19"/>
      <c r="F148" s="19"/>
      <c r="G148" s="19"/>
    </row>
    <row r="149" spans="1:7" ht="17.25" x14ac:dyDescent="0.15">
      <c r="A149" s="19"/>
      <c r="B149" s="19"/>
      <c r="C149" s="19"/>
      <c r="D149" s="19"/>
      <c r="E149" s="19"/>
      <c r="F149" s="19"/>
      <c r="G149" s="19"/>
    </row>
    <row r="150" spans="1:7" ht="17.25" x14ac:dyDescent="0.15">
      <c r="A150" s="19"/>
      <c r="B150" s="19"/>
      <c r="C150" s="19"/>
      <c r="D150" s="19"/>
      <c r="E150" s="19"/>
      <c r="F150" s="19"/>
      <c r="G150" s="19"/>
    </row>
    <row r="151" spans="1:7" ht="17.25" x14ac:dyDescent="0.15">
      <c r="A151" s="19"/>
      <c r="B151" s="19"/>
      <c r="C151" s="19"/>
      <c r="D151" s="19"/>
      <c r="E151" s="19"/>
      <c r="F151" s="19"/>
      <c r="G151" s="19"/>
    </row>
    <row r="152" spans="1:7" ht="17.25" x14ac:dyDescent="0.15">
      <c r="A152" s="19"/>
      <c r="B152" s="19"/>
      <c r="C152" s="19"/>
      <c r="D152" s="19"/>
      <c r="E152" s="19"/>
      <c r="F152" s="19"/>
      <c r="G152" s="19"/>
    </row>
    <row r="153" spans="1:7" ht="17.25" x14ac:dyDescent="0.15">
      <c r="A153" s="19"/>
      <c r="B153" s="19"/>
      <c r="C153" s="19"/>
      <c r="D153" s="19"/>
      <c r="E153" s="19"/>
      <c r="F153" s="19"/>
      <c r="G153" s="19"/>
    </row>
    <row r="154" spans="1:7" ht="17.25" x14ac:dyDescent="0.15">
      <c r="A154" s="19"/>
      <c r="B154" s="19"/>
      <c r="C154" s="19"/>
      <c r="D154" s="19"/>
      <c r="E154" s="19"/>
      <c r="F154" s="19"/>
      <c r="G154" s="19"/>
    </row>
    <row r="155" spans="1:7" ht="17.25" x14ac:dyDescent="0.15">
      <c r="A155" s="19"/>
      <c r="B155" s="19"/>
      <c r="C155" s="19"/>
      <c r="D155" s="19"/>
      <c r="E155" s="19"/>
      <c r="F155" s="19"/>
      <c r="G155" s="19"/>
    </row>
    <row r="156" spans="1:7" ht="17.25" x14ac:dyDescent="0.15">
      <c r="A156" s="19"/>
      <c r="B156" s="19"/>
      <c r="C156" s="19"/>
      <c r="D156" s="19"/>
      <c r="E156" s="19"/>
      <c r="F156" s="19"/>
      <c r="G156" s="19"/>
    </row>
    <row r="157" spans="1:7" ht="17.25" x14ac:dyDescent="0.15">
      <c r="A157" s="19"/>
      <c r="B157" s="19"/>
      <c r="C157" s="19"/>
      <c r="D157" s="19"/>
      <c r="E157" s="19"/>
      <c r="F157" s="19"/>
      <c r="G157" s="19"/>
    </row>
    <row r="158" spans="1:7" ht="17.25" x14ac:dyDescent="0.15">
      <c r="A158" s="19"/>
      <c r="B158" s="19"/>
      <c r="C158" s="19"/>
      <c r="D158" s="19"/>
      <c r="E158" s="19"/>
      <c r="F158" s="19"/>
      <c r="G158" s="19"/>
    </row>
    <row r="159" spans="1:7" ht="17.25" x14ac:dyDescent="0.15">
      <c r="A159" s="19"/>
      <c r="B159" s="19"/>
      <c r="C159" s="19"/>
      <c r="D159" s="19"/>
      <c r="E159" s="19"/>
      <c r="F159" s="19"/>
      <c r="G159" s="19"/>
    </row>
    <row r="160" spans="1:7" ht="17.25" x14ac:dyDescent="0.15">
      <c r="A160" s="19"/>
      <c r="B160" s="19"/>
      <c r="C160" s="19"/>
      <c r="D160" s="19"/>
      <c r="E160" s="19"/>
      <c r="F160" s="19"/>
      <c r="G160" s="19"/>
    </row>
    <row r="161" spans="1:7" ht="17.25" x14ac:dyDescent="0.15">
      <c r="A161" s="19"/>
      <c r="B161" s="19"/>
      <c r="C161" s="19"/>
      <c r="D161" s="19"/>
      <c r="E161" s="19"/>
      <c r="F161" s="19"/>
      <c r="G161" s="19"/>
    </row>
    <row r="162" spans="1:7" ht="17.25" x14ac:dyDescent="0.15">
      <c r="A162" s="19"/>
      <c r="B162" s="19"/>
      <c r="C162" s="19"/>
      <c r="D162" s="19"/>
      <c r="E162" s="19"/>
      <c r="F162" s="19"/>
      <c r="G162" s="19"/>
    </row>
    <row r="163" spans="1:7" ht="17.25" x14ac:dyDescent="0.15">
      <c r="A163" s="19"/>
      <c r="B163" s="19"/>
      <c r="C163" s="19"/>
      <c r="D163" s="19"/>
      <c r="E163" s="19"/>
      <c r="F163" s="19"/>
      <c r="G163" s="19"/>
    </row>
    <row r="164" spans="1:7" ht="17.25" x14ac:dyDescent="0.15">
      <c r="A164" s="19"/>
      <c r="B164" s="19"/>
      <c r="C164" s="19"/>
      <c r="D164" s="19"/>
      <c r="E164" s="19"/>
      <c r="F164" s="19"/>
      <c r="G164" s="19"/>
    </row>
    <row r="165" spans="1:7" ht="17.25" x14ac:dyDescent="0.15">
      <c r="A165" s="19"/>
      <c r="B165" s="19"/>
      <c r="C165" s="19"/>
      <c r="D165" s="19"/>
      <c r="E165" s="19"/>
      <c r="F165" s="19"/>
      <c r="G165" s="19"/>
    </row>
    <row r="166" spans="1:7" ht="17.25" x14ac:dyDescent="0.15">
      <c r="A166" s="19"/>
      <c r="B166" s="19"/>
      <c r="C166" s="19"/>
      <c r="D166" s="19"/>
      <c r="E166" s="19"/>
      <c r="F166" s="19"/>
      <c r="G166" s="19"/>
    </row>
    <row r="167" spans="1:7" ht="17.25" x14ac:dyDescent="0.15">
      <c r="A167" s="19"/>
      <c r="B167" s="19"/>
      <c r="C167" s="19"/>
      <c r="D167" s="19"/>
      <c r="E167" s="19"/>
      <c r="F167" s="19"/>
      <c r="G167" s="19"/>
    </row>
    <row r="168" spans="1:7" ht="17.25" x14ac:dyDescent="0.15">
      <c r="A168" s="19"/>
      <c r="B168" s="19"/>
      <c r="C168" s="19"/>
      <c r="D168" s="19"/>
      <c r="E168" s="19"/>
      <c r="F168" s="19"/>
      <c r="G168" s="19"/>
    </row>
    <row r="169" spans="1:7" ht="17.25" x14ac:dyDescent="0.15">
      <c r="A169" s="19"/>
      <c r="B169" s="19"/>
      <c r="C169" s="19"/>
      <c r="D169" s="19"/>
      <c r="E169" s="19"/>
      <c r="F169" s="19"/>
      <c r="G169" s="19"/>
    </row>
    <row r="170" spans="1:7" ht="17.25" x14ac:dyDescent="0.15">
      <c r="A170" s="19"/>
      <c r="B170" s="19"/>
      <c r="C170" s="19"/>
      <c r="D170" s="19"/>
      <c r="E170" s="19"/>
      <c r="F170" s="19"/>
      <c r="G170" s="19"/>
    </row>
    <row r="171" spans="1:7" ht="17.25" x14ac:dyDescent="0.15">
      <c r="A171" s="19"/>
      <c r="B171" s="19"/>
      <c r="C171" s="19"/>
      <c r="D171" s="19"/>
      <c r="E171" s="19"/>
      <c r="F171" s="19"/>
      <c r="G171" s="19"/>
    </row>
    <row r="172" spans="1:7" ht="17.25" x14ac:dyDescent="0.15">
      <c r="A172" s="19"/>
      <c r="B172" s="19"/>
      <c r="C172" s="19"/>
      <c r="D172" s="19"/>
      <c r="E172" s="19"/>
      <c r="F172" s="19"/>
      <c r="G172" s="19"/>
    </row>
    <row r="173" spans="1:7" ht="17.25" x14ac:dyDescent="0.15">
      <c r="A173" s="19"/>
      <c r="B173" s="19"/>
      <c r="C173" s="19"/>
      <c r="D173" s="19"/>
      <c r="E173" s="19"/>
      <c r="F173" s="19"/>
      <c r="G173" s="19"/>
    </row>
    <row r="174" spans="1:7" ht="17.25" x14ac:dyDescent="0.15">
      <c r="A174" s="19"/>
      <c r="B174" s="19"/>
      <c r="C174" s="19"/>
      <c r="D174" s="19"/>
      <c r="E174" s="19"/>
      <c r="F174" s="19"/>
      <c r="G174" s="19"/>
    </row>
    <row r="175" spans="1:7" ht="17.25" x14ac:dyDescent="0.15">
      <c r="A175" s="19"/>
      <c r="B175" s="19"/>
      <c r="C175" s="19"/>
      <c r="D175" s="19"/>
      <c r="E175" s="19"/>
      <c r="F175" s="19"/>
      <c r="G175" s="19"/>
    </row>
    <row r="176" spans="1:7" ht="17.25" x14ac:dyDescent="0.15">
      <c r="A176" s="19"/>
      <c r="B176" s="19"/>
      <c r="C176" s="19"/>
      <c r="D176" s="19"/>
      <c r="E176" s="19"/>
      <c r="F176" s="19"/>
      <c r="G176" s="19"/>
    </row>
    <row r="177" spans="1:7" ht="17.25" x14ac:dyDescent="0.15">
      <c r="A177" s="19"/>
      <c r="B177" s="19"/>
      <c r="C177" s="19"/>
      <c r="D177" s="19"/>
      <c r="E177" s="19"/>
      <c r="F177" s="19"/>
      <c r="G177" s="19"/>
    </row>
    <row r="178" spans="1:7" ht="17.25" x14ac:dyDescent="0.15">
      <c r="A178" s="19"/>
      <c r="B178" s="19"/>
      <c r="C178" s="19"/>
      <c r="D178" s="19"/>
      <c r="E178" s="19"/>
      <c r="F178" s="19"/>
      <c r="G178" s="19"/>
    </row>
    <row r="179" spans="1:7" ht="17.25" x14ac:dyDescent="0.15">
      <c r="A179" s="19"/>
      <c r="B179" s="19"/>
      <c r="C179" s="19"/>
      <c r="D179" s="19"/>
      <c r="E179" s="19"/>
      <c r="F179" s="19"/>
      <c r="G179" s="19"/>
    </row>
    <row r="180" spans="1:7" ht="17.25" x14ac:dyDescent="0.15">
      <c r="A180" s="19"/>
      <c r="B180" s="19"/>
      <c r="C180" s="19"/>
      <c r="D180" s="19"/>
      <c r="E180" s="19"/>
      <c r="F180" s="19"/>
      <c r="G180" s="19"/>
    </row>
    <row r="181" spans="1:7" ht="17.25" x14ac:dyDescent="0.15">
      <c r="A181" s="19"/>
      <c r="B181" s="19"/>
      <c r="C181" s="19"/>
      <c r="D181" s="19"/>
      <c r="E181" s="19"/>
      <c r="F181" s="19"/>
      <c r="G181" s="19"/>
    </row>
    <row r="182" spans="1:7" ht="17.25" x14ac:dyDescent="0.15">
      <c r="A182" s="19"/>
      <c r="B182" s="19"/>
      <c r="C182" s="19"/>
      <c r="D182" s="19"/>
      <c r="E182" s="19"/>
      <c r="F182" s="19"/>
      <c r="G182" s="19"/>
    </row>
    <row r="183" spans="1:7" ht="17.25" x14ac:dyDescent="0.15">
      <c r="A183" s="19"/>
      <c r="B183" s="19"/>
      <c r="C183" s="19"/>
      <c r="D183" s="19"/>
      <c r="E183" s="19"/>
      <c r="F183" s="19"/>
      <c r="G183" s="19"/>
    </row>
    <row r="184" spans="1:7" ht="17.25" x14ac:dyDescent="0.15">
      <c r="A184" s="19"/>
      <c r="B184" s="19"/>
      <c r="C184" s="19"/>
      <c r="D184" s="19"/>
      <c r="E184" s="19"/>
      <c r="F184" s="19"/>
      <c r="G184" s="19"/>
    </row>
    <row r="185" spans="1:7" ht="17.25" x14ac:dyDescent="0.15">
      <c r="A185" s="19"/>
      <c r="B185" s="19"/>
      <c r="C185" s="19"/>
      <c r="D185" s="19"/>
      <c r="E185" s="19"/>
      <c r="F185" s="19"/>
      <c r="G185" s="19"/>
    </row>
    <row r="186" spans="1:7" ht="17.25" x14ac:dyDescent="0.15">
      <c r="A186" s="19"/>
      <c r="B186" s="19"/>
      <c r="C186" s="19"/>
      <c r="D186" s="19"/>
      <c r="E186" s="19"/>
      <c r="F186" s="19"/>
      <c r="G186" s="19"/>
    </row>
    <row r="187" spans="1:7" ht="17.25" x14ac:dyDescent="0.15">
      <c r="A187" s="19"/>
      <c r="B187" s="19"/>
      <c r="C187" s="19"/>
      <c r="D187" s="19"/>
      <c r="E187" s="19"/>
      <c r="F187" s="19"/>
      <c r="G187" s="19"/>
    </row>
    <row r="188" spans="1:7" ht="17.25" x14ac:dyDescent="0.15">
      <c r="A188" s="19"/>
      <c r="B188" s="19"/>
      <c r="C188" s="19"/>
      <c r="D188" s="19"/>
      <c r="E188" s="19"/>
      <c r="F188" s="19"/>
      <c r="G188" s="19"/>
    </row>
    <row r="189" spans="1:7" ht="17.25" x14ac:dyDescent="0.15">
      <c r="A189" s="19"/>
      <c r="B189" s="19"/>
      <c r="C189" s="19"/>
      <c r="D189" s="19"/>
      <c r="E189" s="19"/>
      <c r="F189" s="19"/>
      <c r="G189" s="19"/>
    </row>
    <row r="190" spans="1:7" ht="17.25" x14ac:dyDescent="0.15">
      <c r="A190" s="19"/>
      <c r="B190" s="19"/>
      <c r="C190" s="19"/>
      <c r="D190" s="19"/>
      <c r="E190" s="19"/>
      <c r="F190" s="19"/>
      <c r="G190" s="19"/>
    </row>
    <row r="191" spans="1:7" ht="17.25" x14ac:dyDescent="0.15">
      <c r="A191" s="19"/>
      <c r="B191" s="19"/>
      <c r="C191" s="19"/>
      <c r="D191" s="19"/>
      <c r="E191" s="19"/>
      <c r="F191" s="19"/>
      <c r="G191" s="19"/>
    </row>
    <row r="192" spans="1:7" ht="17.25" x14ac:dyDescent="0.15">
      <c r="A192" s="19"/>
      <c r="B192" s="19"/>
      <c r="C192" s="19"/>
      <c r="D192" s="19"/>
      <c r="E192" s="19"/>
      <c r="F192" s="19"/>
      <c r="G192" s="19"/>
    </row>
    <row r="193" spans="1:7" ht="17.25" x14ac:dyDescent="0.15">
      <c r="A193" s="19"/>
      <c r="B193" s="19"/>
      <c r="C193" s="19"/>
      <c r="D193" s="19"/>
      <c r="E193" s="19"/>
      <c r="F193" s="19"/>
      <c r="G193" s="19"/>
    </row>
    <row r="194" spans="1:7" ht="17.25" x14ac:dyDescent="0.15">
      <c r="A194" s="19"/>
      <c r="B194" s="19"/>
      <c r="C194" s="19"/>
      <c r="D194" s="19"/>
      <c r="E194" s="19"/>
      <c r="F194" s="19"/>
      <c r="G194" s="19"/>
    </row>
    <row r="195" spans="1:7" ht="17.25" x14ac:dyDescent="0.15">
      <c r="A195" s="19"/>
      <c r="B195" s="19"/>
      <c r="C195" s="19"/>
      <c r="D195" s="19"/>
      <c r="E195" s="19"/>
      <c r="F195" s="19"/>
      <c r="G195" s="19"/>
    </row>
    <row r="196" spans="1:7" ht="17.25" x14ac:dyDescent="0.15">
      <c r="A196" s="19"/>
      <c r="B196" s="19"/>
      <c r="C196" s="19"/>
      <c r="D196" s="19"/>
      <c r="E196" s="19"/>
      <c r="F196" s="19"/>
      <c r="G196" s="19"/>
    </row>
    <row r="197" spans="1:7" ht="17.25" x14ac:dyDescent="0.15">
      <c r="A197" s="19"/>
      <c r="B197" s="19"/>
      <c r="C197" s="19"/>
      <c r="D197" s="19"/>
      <c r="E197" s="19"/>
      <c r="F197" s="19"/>
      <c r="G197" s="19"/>
    </row>
    <row r="198" spans="1:7" ht="17.25" x14ac:dyDescent="0.15">
      <c r="A198" s="19"/>
      <c r="B198" s="19"/>
      <c r="C198" s="19"/>
      <c r="D198" s="19"/>
      <c r="E198" s="19"/>
      <c r="F198" s="19"/>
      <c r="G198" s="19"/>
    </row>
    <row r="199" spans="1:7" ht="17.25" x14ac:dyDescent="0.15">
      <c r="A199" s="19"/>
      <c r="B199" s="19"/>
      <c r="C199" s="19"/>
      <c r="D199" s="19"/>
      <c r="E199" s="19"/>
      <c r="F199" s="19"/>
      <c r="G199" s="19"/>
    </row>
    <row r="200" spans="1:7" ht="17.25" x14ac:dyDescent="0.15">
      <c r="A200" s="19"/>
      <c r="B200" s="19"/>
      <c r="C200" s="19"/>
      <c r="D200" s="19"/>
      <c r="E200" s="19"/>
      <c r="F200" s="19"/>
      <c r="G200" s="19"/>
    </row>
    <row r="201" spans="1:7" ht="17.25" x14ac:dyDescent="0.15">
      <c r="A201" s="19"/>
      <c r="B201" s="19"/>
      <c r="C201" s="19"/>
      <c r="D201" s="19"/>
      <c r="E201" s="19"/>
      <c r="F201" s="19"/>
      <c r="G201" s="19"/>
    </row>
    <row r="202" spans="1:7" ht="17.25" x14ac:dyDescent="0.15">
      <c r="A202" s="19"/>
      <c r="B202" s="19"/>
      <c r="C202" s="19"/>
      <c r="D202" s="19"/>
      <c r="E202" s="19"/>
      <c r="F202" s="19"/>
      <c r="G202" s="19"/>
    </row>
    <row r="203" spans="1:7" ht="17.25" x14ac:dyDescent="0.15">
      <c r="A203" s="19"/>
      <c r="B203" s="19"/>
      <c r="C203" s="19"/>
      <c r="D203" s="19"/>
      <c r="E203" s="19"/>
      <c r="F203" s="19"/>
      <c r="G203" s="19"/>
    </row>
    <row r="204" spans="1:7" ht="17.25" x14ac:dyDescent="0.15">
      <c r="A204" s="19"/>
      <c r="B204" s="19"/>
      <c r="C204" s="19"/>
      <c r="D204" s="19"/>
      <c r="E204" s="19"/>
      <c r="F204" s="19"/>
      <c r="G204" s="19"/>
    </row>
    <row r="205" spans="1:7" ht="17.25" x14ac:dyDescent="0.15">
      <c r="A205" s="19"/>
      <c r="B205" s="19"/>
      <c r="C205" s="19"/>
      <c r="D205" s="19"/>
      <c r="E205" s="19"/>
      <c r="F205" s="19"/>
      <c r="G205" s="19"/>
    </row>
    <row r="206" spans="1:7" ht="17.25" x14ac:dyDescent="0.15">
      <c r="A206" s="19"/>
      <c r="B206" s="19"/>
      <c r="C206" s="19"/>
      <c r="D206" s="19"/>
      <c r="E206" s="19"/>
      <c r="F206" s="19"/>
      <c r="G206" s="19"/>
    </row>
    <row r="207" spans="1:7" ht="17.25" x14ac:dyDescent="0.15">
      <c r="A207" s="19"/>
      <c r="B207" s="19"/>
      <c r="C207" s="19"/>
      <c r="D207" s="19"/>
      <c r="E207" s="19"/>
      <c r="F207" s="19"/>
      <c r="G207" s="19"/>
    </row>
    <row r="208" spans="1:7" ht="17.25" x14ac:dyDescent="0.15">
      <c r="A208" s="19"/>
      <c r="B208" s="19"/>
      <c r="C208" s="19"/>
      <c r="D208" s="19"/>
      <c r="E208" s="19"/>
      <c r="F208" s="19"/>
      <c r="G208" s="19"/>
    </row>
    <row r="209" spans="1:7" ht="17.25" x14ac:dyDescent="0.15">
      <c r="A209" s="19"/>
      <c r="B209" s="19"/>
      <c r="C209" s="19"/>
      <c r="D209" s="19"/>
      <c r="E209" s="19"/>
      <c r="F209" s="19"/>
      <c r="G209" s="19"/>
    </row>
    <row r="210" spans="1:7" ht="17.25" x14ac:dyDescent="0.15">
      <c r="A210" s="19"/>
      <c r="B210" s="19"/>
      <c r="C210" s="19"/>
      <c r="D210" s="19"/>
      <c r="E210" s="19"/>
      <c r="F210" s="19"/>
      <c r="G210" s="19"/>
    </row>
    <row r="211" spans="1:7" ht="17.25" x14ac:dyDescent="0.15">
      <c r="A211" s="19"/>
      <c r="B211" s="19"/>
      <c r="C211" s="19"/>
      <c r="D211" s="19"/>
      <c r="E211" s="19"/>
      <c r="F211" s="19"/>
      <c r="G211" s="19"/>
    </row>
    <row r="212" spans="1:7" ht="17.25" x14ac:dyDescent="0.15">
      <c r="A212" s="19"/>
      <c r="B212" s="19"/>
      <c r="C212" s="19"/>
      <c r="D212" s="19"/>
      <c r="E212" s="19"/>
      <c r="F212" s="19"/>
      <c r="G212" s="19"/>
    </row>
    <row r="213" spans="1:7" ht="17.25" x14ac:dyDescent="0.15">
      <c r="A213" s="19"/>
      <c r="B213" s="19"/>
      <c r="C213" s="19"/>
      <c r="D213" s="19"/>
      <c r="E213" s="19"/>
      <c r="F213" s="19"/>
      <c r="G213" s="19"/>
    </row>
    <row r="214" spans="1:7" ht="17.25" x14ac:dyDescent="0.15">
      <c r="A214" s="19"/>
      <c r="B214" s="19"/>
      <c r="C214" s="19"/>
      <c r="D214" s="19"/>
      <c r="E214" s="19"/>
      <c r="F214" s="19"/>
      <c r="G214" s="19"/>
    </row>
    <row r="215" spans="1:7" ht="17.25" x14ac:dyDescent="0.15">
      <c r="A215" s="19"/>
      <c r="B215" s="19"/>
      <c r="C215" s="19"/>
      <c r="D215" s="19"/>
      <c r="E215" s="19"/>
      <c r="F215" s="19"/>
      <c r="G215" s="19"/>
    </row>
    <row r="216" spans="1:7" ht="17.25" x14ac:dyDescent="0.15">
      <c r="A216" s="19"/>
      <c r="B216" s="19"/>
      <c r="C216" s="19"/>
      <c r="D216" s="19"/>
      <c r="E216" s="19"/>
      <c r="F216" s="19"/>
      <c r="G216" s="19"/>
    </row>
    <row r="217" spans="1:7" ht="17.25" x14ac:dyDescent="0.15">
      <c r="A217" s="19"/>
      <c r="B217" s="19"/>
      <c r="C217" s="19"/>
      <c r="D217" s="19"/>
      <c r="E217" s="19"/>
      <c r="F217" s="19"/>
      <c r="G217" s="19"/>
    </row>
    <row r="218" spans="1:7" ht="17.25" x14ac:dyDescent="0.15">
      <c r="A218" s="19"/>
      <c r="B218" s="19"/>
      <c r="C218" s="19"/>
      <c r="D218" s="19"/>
      <c r="E218" s="19"/>
      <c r="F218" s="19"/>
      <c r="G218" s="19"/>
    </row>
    <row r="219" spans="1:7" ht="17.25" x14ac:dyDescent="0.15">
      <c r="A219" s="19"/>
      <c r="B219" s="19"/>
      <c r="C219" s="19"/>
      <c r="D219" s="19"/>
      <c r="E219" s="19"/>
      <c r="F219" s="19"/>
      <c r="G219" s="19"/>
    </row>
    <row r="220" spans="1:7" ht="17.25" x14ac:dyDescent="0.15">
      <c r="A220" s="19"/>
      <c r="B220" s="19"/>
      <c r="C220" s="19"/>
      <c r="D220" s="19"/>
      <c r="E220" s="19"/>
      <c r="F220" s="19"/>
      <c r="G220" s="19"/>
    </row>
    <row r="221" spans="1:7" ht="17.25" x14ac:dyDescent="0.15">
      <c r="A221" s="19"/>
      <c r="B221" s="19"/>
      <c r="C221" s="19"/>
      <c r="D221" s="19"/>
      <c r="E221" s="19"/>
      <c r="F221" s="19"/>
      <c r="G221" s="19"/>
    </row>
    <row r="222" spans="1:7" ht="17.25" x14ac:dyDescent="0.15">
      <c r="A222" s="19"/>
      <c r="B222" s="19"/>
      <c r="C222" s="19"/>
      <c r="D222" s="19"/>
      <c r="E222" s="19"/>
      <c r="F222" s="19"/>
      <c r="G222" s="19"/>
    </row>
    <row r="223" spans="1:7" ht="17.25" x14ac:dyDescent="0.15">
      <c r="A223" s="19"/>
      <c r="B223" s="19"/>
      <c r="C223" s="19"/>
      <c r="D223" s="19"/>
      <c r="E223" s="19"/>
      <c r="F223" s="19"/>
      <c r="G223" s="19"/>
    </row>
    <row r="224" spans="1:7" ht="17.25" x14ac:dyDescent="0.15">
      <c r="A224" s="19"/>
      <c r="B224" s="19"/>
      <c r="C224" s="19"/>
      <c r="D224" s="19"/>
      <c r="E224" s="19"/>
      <c r="F224" s="19"/>
      <c r="G224" s="19"/>
    </row>
    <row r="225" spans="1:7" ht="17.25" x14ac:dyDescent="0.15">
      <c r="A225" s="19"/>
      <c r="B225" s="19"/>
      <c r="C225" s="19"/>
      <c r="D225" s="19"/>
      <c r="E225" s="19"/>
      <c r="F225" s="19"/>
      <c r="G225" s="19"/>
    </row>
    <row r="226" spans="1:7" ht="17.25" x14ac:dyDescent="0.15">
      <c r="A226" s="19"/>
      <c r="B226" s="19"/>
      <c r="C226" s="19"/>
      <c r="D226" s="19"/>
      <c r="E226" s="19"/>
      <c r="F226" s="19"/>
      <c r="G226" s="19"/>
    </row>
    <row r="227" spans="1:7" ht="17.25" x14ac:dyDescent="0.15">
      <c r="A227" s="19"/>
      <c r="B227" s="19"/>
      <c r="C227" s="19"/>
      <c r="D227" s="19"/>
      <c r="E227" s="19"/>
      <c r="F227" s="19"/>
      <c r="G227" s="19"/>
    </row>
    <row r="228" spans="1:7" ht="17.25" x14ac:dyDescent="0.15">
      <c r="A228" s="19"/>
      <c r="B228" s="19"/>
      <c r="C228" s="19"/>
      <c r="D228" s="19"/>
      <c r="E228" s="19"/>
      <c r="F228" s="19"/>
      <c r="G228" s="19"/>
    </row>
    <row r="229" spans="1:7" ht="17.25" x14ac:dyDescent="0.15">
      <c r="A229" s="19"/>
      <c r="B229" s="19"/>
      <c r="C229" s="19"/>
      <c r="D229" s="19"/>
      <c r="E229" s="19"/>
      <c r="F229" s="19"/>
      <c r="G229" s="19"/>
    </row>
    <row r="230" spans="1:7" ht="17.25" x14ac:dyDescent="0.15">
      <c r="A230" s="19"/>
      <c r="B230" s="19"/>
      <c r="C230" s="19"/>
      <c r="D230" s="19"/>
      <c r="E230" s="19"/>
      <c r="F230" s="19"/>
      <c r="G230" s="19"/>
    </row>
    <row r="231" spans="1:7" ht="17.25" x14ac:dyDescent="0.15">
      <c r="A231" s="19"/>
      <c r="B231" s="19"/>
      <c r="C231" s="19"/>
      <c r="D231" s="19"/>
      <c r="E231" s="19"/>
      <c r="F231" s="19"/>
      <c r="G231" s="19"/>
    </row>
    <row r="232" spans="1:7" ht="17.25" x14ac:dyDescent="0.15">
      <c r="A232" s="19"/>
      <c r="B232" s="19"/>
      <c r="C232" s="19"/>
      <c r="D232" s="19"/>
      <c r="E232" s="19"/>
      <c r="F232" s="19"/>
      <c r="G232" s="19"/>
    </row>
    <row r="233" spans="1:7" ht="17.25" x14ac:dyDescent="0.15">
      <c r="A233" s="19"/>
      <c r="B233" s="19"/>
      <c r="C233" s="19"/>
      <c r="D233" s="19"/>
      <c r="E233" s="19"/>
      <c r="F233" s="19"/>
      <c r="G233" s="19"/>
    </row>
    <row r="234" spans="1:7" ht="17.25" x14ac:dyDescent="0.15">
      <c r="A234" s="19"/>
      <c r="B234" s="19"/>
      <c r="C234" s="19"/>
      <c r="D234" s="19"/>
      <c r="E234" s="19"/>
      <c r="F234" s="19"/>
      <c r="G234" s="19"/>
    </row>
    <row r="235" spans="1:7" ht="17.25" x14ac:dyDescent="0.15">
      <c r="A235" s="19"/>
      <c r="B235" s="19"/>
      <c r="C235" s="19"/>
      <c r="D235" s="19"/>
      <c r="E235" s="19"/>
      <c r="F235" s="19"/>
      <c r="G235" s="19"/>
    </row>
    <row r="236" spans="1:7" ht="17.25" x14ac:dyDescent="0.15">
      <c r="A236" s="19"/>
      <c r="B236" s="19"/>
      <c r="C236" s="19"/>
      <c r="D236" s="19"/>
      <c r="E236" s="19"/>
      <c r="F236" s="19"/>
      <c r="G236" s="19"/>
    </row>
    <row r="237" spans="1:7" ht="17.25" x14ac:dyDescent="0.15">
      <c r="A237" s="19"/>
      <c r="B237" s="19"/>
      <c r="C237" s="19"/>
      <c r="D237" s="19"/>
      <c r="E237" s="19"/>
      <c r="F237" s="19"/>
      <c r="G237" s="19"/>
    </row>
    <row r="238" spans="1:7" ht="17.25" x14ac:dyDescent="0.15">
      <c r="A238" s="19"/>
      <c r="B238" s="19"/>
      <c r="C238" s="19"/>
      <c r="D238" s="19"/>
      <c r="E238" s="19"/>
      <c r="F238" s="19"/>
      <c r="G238" s="19"/>
    </row>
    <row r="239" spans="1:7" ht="17.25" x14ac:dyDescent="0.15">
      <c r="A239" s="19"/>
      <c r="B239" s="19"/>
      <c r="C239" s="19"/>
      <c r="D239" s="19"/>
      <c r="E239" s="19"/>
      <c r="F239" s="19"/>
      <c r="G239" s="19"/>
    </row>
    <row r="240" spans="1:7" ht="17.25" x14ac:dyDescent="0.15">
      <c r="A240" s="19"/>
      <c r="B240" s="19"/>
      <c r="C240" s="19"/>
      <c r="D240" s="19"/>
      <c r="E240" s="19"/>
      <c r="F240" s="19"/>
      <c r="G240" s="19"/>
    </row>
    <row r="241" spans="1:7" ht="17.25" x14ac:dyDescent="0.15">
      <c r="A241" s="19"/>
      <c r="B241" s="19"/>
      <c r="C241" s="19"/>
      <c r="D241" s="19"/>
      <c r="E241" s="19"/>
      <c r="F241" s="19"/>
      <c r="G241" s="19"/>
    </row>
    <row r="242" spans="1:7" ht="17.25" x14ac:dyDescent="0.15">
      <c r="A242" s="19"/>
      <c r="B242" s="19"/>
      <c r="C242" s="19"/>
      <c r="D242" s="19"/>
      <c r="E242" s="19"/>
      <c r="F242" s="19"/>
      <c r="G242" s="19"/>
    </row>
    <row r="243" spans="1:7" ht="17.25" x14ac:dyDescent="0.15">
      <c r="A243" s="19"/>
      <c r="B243" s="19"/>
      <c r="C243" s="19"/>
      <c r="D243" s="19"/>
      <c r="E243" s="19"/>
      <c r="F243" s="19"/>
      <c r="G243" s="19"/>
    </row>
    <row r="244" spans="1:7" ht="17.25" x14ac:dyDescent="0.15">
      <c r="A244" s="19"/>
      <c r="B244" s="19"/>
      <c r="C244" s="19"/>
      <c r="D244" s="19"/>
      <c r="E244" s="19"/>
      <c r="F244" s="19"/>
      <c r="G244" s="19"/>
    </row>
    <row r="245" spans="1:7" ht="17.25" x14ac:dyDescent="0.15">
      <c r="A245" s="19"/>
      <c r="B245" s="19"/>
      <c r="C245" s="19"/>
      <c r="D245" s="19"/>
      <c r="E245" s="19"/>
      <c r="F245" s="19"/>
      <c r="G245" s="19"/>
    </row>
    <row r="246" spans="1:7" ht="17.25" x14ac:dyDescent="0.15">
      <c r="A246" s="19"/>
      <c r="B246" s="19"/>
      <c r="C246" s="19"/>
      <c r="D246" s="19"/>
      <c r="E246" s="19"/>
      <c r="F246" s="19"/>
      <c r="G246" s="19"/>
    </row>
    <row r="247" spans="1:7" ht="17.25" x14ac:dyDescent="0.15">
      <c r="A247" s="19"/>
      <c r="B247" s="19"/>
      <c r="C247" s="19"/>
      <c r="D247" s="19"/>
      <c r="E247" s="19"/>
      <c r="F247" s="19"/>
      <c r="G247" s="19"/>
    </row>
    <row r="248" spans="1:7" ht="17.25" x14ac:dyDescent="0.15">
      <c r="A248" s="19"/>
      <c r="B248" s="19"/>
      <c r="C248" s="19"/>
      <c r="D248" s="19"/>
      <c r="E248" s="19"/>
      <c r="F248" s="19"/>
      <c r="G248" s="19"/>
    </row>
    <row r="249" spans="1:7" ht="17.25" x14ac:dyDescent="0.15">
      <c r="A249" s="19"/>
      <c r="B249" s="19"/>
      <c r="C249" s="19"/>
      <c r="D249" s="19"/>
      <c r="E249" s="19"/>
      <c r="F249" s="19"/>
      <c r="G249" s="19"/>
    </row>
    <row r="250" spans="1:7" ht="17.25" x14ac:dyDescent="0.15">
      <c r="A250" s="19"/>
      <c r="B250" s="19"/>
      <c r="C250" s="19"/>
      <c r="D250" s="19"/>
      <c r="E250" s="19"/>
      <c r="F250" s="19"/>
      <c r="G250" s="19"/>
    </row>
    <row r="251" spans="1:7" ht="17.25" x14ac:dyDescent="0.15">
      <c r="A251" s="19"/>
      <c r="B251" s="19"/>
      <c r="C251" s="19"/>
      <c r="D251" s="19"/>
      <c r="E251" s="19"/>
      <c r="F251" s="19"/>
      <c r="G251" s="19"/>
    </row>
    <row r="252" spans="1:7" ht="17.25" x14ac:dyDescent="0.15">
      <c r="A252" s="19"/>
      <c r="B252" s="19"/>
      <c r="C252" s="19"/>
      <c r="D252" s="19"/>
      <c r="E252" s="19"/>
      <c r="F252" s="19"/>
      <c r="G252" s="19"/>
    </row>
    <row r="253" spans="1:7" ht="17.25" x14ac:dyDescent="0.15">
      <c r="A253" s="19"/>
      <c r="B253" s="19"/>
      <c r="C253" s="19"/>
      <c r="D253" s="19"/>
      <c r="E253" s="19"/>
      <c r="F253" s="19"/>
      <c r="G253" s="19"/>
    </row>
    <row r="254" spans="1:7" ht="17.25" x14ac:dyDescent="0.15">
      <c r="A254" s="19"/>
      <c r="B254" s="19"/>
      <c r="C254" s="19"/>
      <c r="D254" s="19"/>
      <c r="E254" s="19"/>
      <c r="F254" s="19"/>
      <c r="G254" s="19"/>
    </row>
    <row r="255" spans="1:7" ht="17.25" x14ac:dyDescent="0.15">
      <c r="A255" s="19"/>
      <c r="B255" s="19"/>
      <c r="C255" s="19"/>
      <c r="D255" s="19"/>
      <c r="E255" s="19"/>
      <c r="F255" s="19"/>
      <c r="G255" s="19"/>
    </row>
    <row r="256" spans="1:7" ht="17.25" x14ac:dyDescent="0.15">
      <c r="A256" s="19"/>
      <c r="B256" s="19"/>
      <c r="C256" s="19"/>
      <c r="D256" s="19"/>
      <c r="E256" s="19"/>
      <c r="F256" s="19"/>
      <c r="G256" s="19"/>
    </row>
    <row r="257" spans="1:7" ht="17.25" x14ac:dyDescent="0.15">
      <c r="A257" s="19"/>
      <c r="B257" s="19"/>
      <c r="C257" s="19"/>
      <c r="D257" s="19"/>
      <c r="E257" s="19"/>
      <c r="F257" s="19"/>
      <c r="G257" s="19"/>
    </row>
    <row r="258" spans="1:7" ht="17.25" x14ac:dyDescent="0.15">
      <c r="A258" s="19"/>
      <c r="B258" s="19"/>
      <c r="C258" s="19"/>
      <c r="D258" s="19"/>
      <c r="E258" s="19"/>
      <c r="F258" s="19"/>
      <c r="G258" s="19"/>
    </row>
    <row r="259" spans="1:7" ht="17.25" x14ac:dyDescent="0.15">
      <c r="A259" s="19"/>
      <c r="B259" s="19"/>
      <c r="C259" s="19"/>
      <c r="D259" s="19"/>
      <c r="E259" s="19"/>
      <c r="F259" s="19"/>
      <c r="G259" s="19"/>
    </row>
    <row r="260" spans="1:7" ht="17.25" x14ac:dyDescent="0.15">
      <c r="A260" s="19"/>
      <c r="B260" s="19"/>
      <c r="C260" s="19"/>
      <c r="D260" s="19"/>
      <c r="E260" s="19"/>
      <c r="F260" s="19"/>
      <c r="G260" s="19"/>
    </row>
    <row r="261" spans="1:7" ht="17.25" x14ac:dyDescent="0.15">
      <c r="A261" s="19"/>
      <c r="B261" s="19"/>
      <c r="C261" s="19"/>
      <c r="D261" s="19"/>
      <c r="E261" s="19"/>
      <c r="F261" s="19"/>
      <c r="G261" s="19"/>
    </row>
    <row r="262" spans="1:7" ht="17.25" x14ac:dyDescent="0.15">
      <c r="A262" s="19"/>
      <c r="B262" s="19"/>
      <c r="C262" s="19"/>
      <c r="D262" s="19"/>
      <c r="E262" s="19"/>
      <c r="F262" s="19"/>
      <c r="G262" s="19"/>
    </row>
    <row r="263" spans="1:7" ht="17.25" x14ac:dyDescent="0.15">
      <c r="A263" s="19"/>
      <c r="B263" s="19"/>
      <c r="C263" s="19"/>
      <c r="D263" s="19"/>
      <c r="E263" s="19"/>
      <c r="F263" s="19"/>
      <c r="G263" s="19"/>
    </row>
    <row r="264" spans="1:7" ht="17.25" x14ac:dyDescent="0.15">
      <c r="A264" s="19"/>
      <c r="B264" s="19"/>
      <c r="C264" s="19"/>
      <c r="D264" s="19"/>
      <c r="E264" s="19"/>
      <c r="F264" s="19"/>
      <c r="G264" s="19"/>
    </row>
    <row r="265" spans="1:7" ht="17.25" x14ac:dyDescent="0.15">
      <c r="A265" s="19"/>
      <c r="B265" s="19"/>
      <c r="C265" s="19"/>
      <c r="D265" s="19"/>
      <c r="E265" s="19"/>
      <c r="F265" s="19"/>
      <c r="G265" s="19"/>
    </row>
    <row r="266" spans="1:7" ht="17.25" x14ac:dyDescent="0.15">
      <c r="A266" s="19"/>
      <c r="B266" s="19"/>
      <c r="C266" s="19"/>
      <c r="D266" s="19"/>
      <c r="E266" s="19"/>
      <c r="F266" s="19"/>
      <c r="G266" s="19"/>
    </row>
    <row r="267" spans="1:7" ht="17.25" x14ac:dyDescent="0.15">
      <c r="A267" s="19"/>
      <c r="B267" s="19"/>
      <c r="C267" s="19"/>
      <c r="D267" s="19"/>
      <c r="E267" s="19"/>
      <c r="F267" s="19"/>
      <c r="G267" s="19"/>
    </row>
    <row r="268" spans="1:7" ht="17.25" x14ac:dyDescent="0.15">
      <c r="A268" s="19"/>
      <c r="B268" s="19"/>
      <c r="C268" s="19"/>
      <c r="D268" s="19"/>
      <c r="E268" s="19"/>
      <c r="F268" s="19"/>
      <c r="G268" s="19"/>
    </row>
    <row r="269" spans="1:7" ht="17.25" x14ac:dyDescent="0.15">
      <c r="A269" s="19"/>
      <c r="B269" s="19"/>
      <c r="C269" s="19"/>
      <c r="D269" s="19"/>
      <c r="E269" s="19"/>
      <c r="F269" s="19"/>
      <c r="G269" s="19"/>
    </row>
    <row r="270" spans="1:7" ht="17.25" x14ac:dyDescent="0.15">
      <c r="A270" s="19"/>
      <c r="B270" s="19"/>
      <c r="C270" s="19"/>
      <c r="D270" s="19"/>
      <c r="E270" s="19"/>
      <c r="F270" s="19"/>
      <c r="G270" s="19"/>
    </row>
    <row r="271" spans="1:7" ht="17.25" x14ac:dyDescent="0.15">
      <c r="A271" s="19"/>
      <c r="B271" s="19"/>
      <c r="C271" s="19"/>
      <c r="D271" s="19"/>
      <c r="E271" s="19"/>
      <c r="F271" s="19"/>
      <c r="G271" s="19"/>
    </row>
    <row r="272" spans="1:7" ht="17.25" x14ac:dyDescent="0.15">
      <c r="A272" s="19"/>
      <c r="B272" s="19"/>
      <c r="C272" s="19"/>
      <c r="D272" s="19"/>
      <c r="E272" s="19"/>
      <c r="F272" s="19"/>
      <c r="G272" s="19"/>
    </row>
    <row r="273" spans="1:7" ht="17.25" x14ac:dyDescent="0.15">
      <c r="A273" s="19"/>
      <c r="B273" s="19"/>
      <c r="C273" s="19"/>
      <c r="D273" s="19"/>
      <c r="E273" s="19"/>
      <c r="F273" s="19"/>
      <c r="G273" s="19"/>
    </row>
    <row r="274" spans="1:7" ht="17.25" x14ac:dyDescent="0.15">
      <c r="A274" s="19"/>
      <c r="B274" s="19"/>
      <c r="C274" s="19"/>
      <c r="D274" s="19"/>
      <c r="E274" s="19"/>
      <c r="F274" s="19"/>
      <c r="G274" s="19"/>
    </row>
    <row r="275" spans="1:7" ht="17.25" x14ac:dyDescent="0.15">
      <c r="A275" s="19"/>
      <c r="B275" s="19"/>
      <c r="C275" s="19"/>
      <c r="D275" s="19"/>
      <c r="E275" s="19"/>
      <c r="F275" s="19"/>
      <c r="G275" s="19"/>
    </row>
    <row r="276" spans="1:7" ht="17.25" x14ac:dyDescent="0.15">
      <c r="A276" s="19"/>
      <c r="B276" s="19"/>
      <c r="C276" s="19"/>
      <c r="D276" s="19"/>
      <c r="E276" s="19"/>
      <c r="F276" s="19"/>
      <c r="G276" s="19"/>
    </row>
    <row r="277" spans="1:7" ht="17.25" x14ac:dyDescent="0.15">
      <c r="A277" s="19"/>
      <c r="B277" s="19"/>
      <c r="C277" s="19"/>
      <c r="D277" s="19"/>
      <c r="E277" s="19"/>
      <c r="F277" s="19"/>
      <c r="G277" s="19"/>
    </row>
    <row r="278" spans="1:7" ht="17.25" x14ac:dyDescent="0.15">
      <c r="A278" s="19"/>
      <c r="B278" s="19"/>
      <c r="C278" s="19"/>
      <c r="D278" s="19"/>
      <c r="E278" s="19"/>
      <c r="F278" s="19"/>
      <c r="G278" s="19"/>
    </row>
    <row r="279" spans="1:7" ht="17.25" x14ac:dyDescent="0.15">
      <c r="A279" s="19"/>
      <c r="B279" s="19"/>
      <c r="C279" s="19"/>
      <c r="D279" s="19"/>
      <c r="E279" s="19"/>
      <c r="F279" s="19"/>
      <c r="G279" s="19"/>
    </row>
    <row r="280" spans="1:7" ht="17.25" x14ac:dyDescent="0.15">
      <c r="A280" s="19"/>
      <c r="B280" s="19"/>
      <c r="C280" s="19"/>
      <c r="D280" s="19"/>
      <c r="E280" s="19"/>
      <c r="F280" s="19"/>
      <c r="G280" s="19"/>
    </row>
    <row r="281" spans="1:7" ht="17.25" x14ac:dyDescent="0.15">
      <c r="A281" s="19"/>
      <c r="B281" s="19"/>
      <c r="C281" s="19"/>
      <c r="D281" s="19"/>
      <c r="E281" s="19"/>
      <c r="F281" s="19"/>
      <c r="G281" s="19"/>
    </row>
    <row r="282" spans="1:7" ht="17.25" x14ac:dyDescent="0.15">
      <c r="A282" s="19"/>
      <c r="B282" s="19"/>
      <c r="C282" s="19"/>
      <c r="D282" s="19"/>
      <c r="E282" s="19"/>
      <c r="F282" s="19"/>
      <c r="G282" s="19"/>
    </row>
    <row r="283" spans="1:7" ht="17.25" x14ac:dyDescent="0.15">
      <c r="A283" s="19"/>
      <c r="B283" s="19"/>
      <c r="C283" s="19"/>
      <c r="D283" s="19"/>
      <c r="E283" s="19"/>
      <c r="F283" s="19"/>
      <c r="G283" s="19"/>
    </row>
    <row r="284" spans="1:7" ht="17.25" x14ac:dyDescent="0.15">
      <c r="A284" s="19"/>
      <c r="B284" s="19"/>
      <c r="C284" s="19"/>
      <c r="D284" s="19"/>
      <c r="E284" s="19"/>
      <c r="F284" s="19"/>
      <c r="G284" s="19"/>
    </row>
    <row r="285" spans="1:7" ht="17.25" x14ac:dyDescent="0.15">
      <c r="A285" s="19"/>
      <c r="B285" s="19"/>
      <c r="C285" s="19"/>
      <c r="D285" s="19"/>
      <c r="E285" s="19"/>
      <c r="F285" s="19"/>
      <c r="G285" s="19"/>
    </row>
    <row r="286" spans="1:7" ht="17.25" x14ac:dyDescent="0.15">
      <c r="A286" s="19"/>
      <c r="B286" s="19"/>
      <c r="C286" s="19"/>
      <c r="D286" s="19"/>
      <c r="E286" s="19"/>
      <c r="F286" s="19"/>
      <c r="G286" s="19"/>
    </row>
    <row r="287" spans="1:7" ht="17.25" x14ac:dyDescent="0.15">
      <c r="A287" s="19"/>
      <c r="B287" s="19"/>
      <c r="C287" s="19"/>
      <c r="D287" s="19"/>
      <c r="E287" s="19"/>
      <c r="F287" s="19"/>
      <c r="G287" s="19"/>
    </row>
    <row r="288" spans="1:7" ht="17.25" x14ac:dyDescent="0.15">
      <c r="A288" s="19"/>
      <c r="B288" s="19"/>
      <c r="C288" s="19"/>
      <c r="D288" s="19"/>
      <c r="E288" s="19"/>
      <c r="F288" s="19"/>
      <c r="G288" s="19"/>
    </row>
    <row r="289" spans="1:7" ht="17.25" x14ac:dyDescent="0.15">
      <c r="A289" s="19"/>
      <c r="B289" s="19"/>
      <c r="C289" s="19"/>
      <c r="D289" s="19"/>
      <c r="E289" s="19"/>
      <c r="F289" s="19"/>
      <c r="G289" s="19"/>
    </row>
    <row r="290" spans="1:7" ht="17.25" x14ac:dyDescent="0.15">
      <c r="A290" s="19"/>
      <c r="B290" s="19"/>
      <c r="C290" s="19"/>
      <c r="D290" s="19"/>
      <c r="E290" s="19"/>
      <c r="F290" s="19"/>
      <c r="G290" s="19"/>
    </row>
    <row r="291" spans="1:7" ht="17.25" x14ac:dyDescent="0.15">
      <c r="A291" s="19"/>
      <c r="B291" s="19"/>
      <c r="C291" s="19"/>
      <c r="D291" s="19"/>
      <c r="E291" s="19"/>
      <c r="F291" s="19"/>
      <c r="G291" s="19"/>
    </row>
    <row r="292" spans="1:7" ht="17.25" x14ac:dyDescent="0.15">
      <c r="A292" s="19"/>
      <c r="B292" s="19"/>
      <c r="C292" s="19"/>
      <c r="D292" s="19"/>
      <c r="E292" s="19"/>
      <c r="F292" s="19"/>
      <c r="G292" s="19"/>
    </row>
    <row r="293" spans="1:7" ht="17.25" x14ac:dyDescent="0.15">
      <c r="A293" s="19"/>
      <c r="B293" s="19"/>
      <c r="C293" s="19"/>
      <c r="D293" s="19"/>
      <c r="E293" s="19"/>
      <c r="F293" s="19"/>
      <c r="G293" s="19"/>
    </row>
    <row r="294" spans="1:7" ht="17.25" x14ac:dyDescent="0.15">
      <c r="A294" s="19"/>
      <c r="B294" s="19"/>
      <c r="C294" s="19"/>
      <c r="D294" s="19"/>
      <c r="E294" s="19"/>
      <c r="F294" s="19"/>
      <c r="G294" s="19"/>
    </row>
    <row r="295" spans="1:7" ht="17.25" x14ac:dyDescent="0.15">
      <c r="A295" s="19"/>
      <c r="B295" s="19"/>
      <c r="C295" s="19"/>
      <c r="D295" s="19"/>
      <c r="E295" s="19"/>
      <c r="F295" s="19"/>
      <c r="G295" s="19"/>
    </row>
    <row r="296" spans="1:7" ht="17.25" x14ac:dyDescent="0.15">
      <c r="A296" s="19"/>
      <c r="B296" s="19"/>
      <c r="C296" s="19"/>
      <c r="D296" s="19"/>
      <c r="E296" s="19"/>
      <c r="F296" s="19"/>
      <c r="G296" s="19"/>
    </row>
    <row r="297" spans="1:7" ht="17.25" x14ac:dyDescent="0.15">
      <c r="A297" s="19"/>
      <c r="B297" s="19"/>
      <c r="C297" s="19"/>
      <c r="D297" s="19"/>
      <c r="E297" s="19"/>
      <c r="F297" s="19"/>
      <c r="G297" s="19"/>
    </row>
    <row r="298" spans="1:7" ht="17.25" x14ac:dyDescent="0.15">
      <c r="A298" s="19"/>
      <c r="B298" s="19"/>
      <c r="C298" s="19"/>
      <c r="D298" s="19"/>
      <c r="E298" s="19"/>
      <c r="F298" s="19"/>
      <c r="G298" s="19"/>
    </row>
    <row r="299" spans="1:7" ht="17.25" x14ac:dyDescent="0.15">
      <c r="A299" s="19"/>
      <c r="B299" s="19"/>
      <c r="C299" s="19"/>
      <c r="D299" s="19"/>
      <c r="E299" s="19"/>
      <c r="F299" s="19"/>
      <c r="G299" s="19"/>
    </row>
    <row r="300" spans="1:7" ht="17.25" x14ac:dyDescent="0.15">
      <c r="A300" s="19"/>
      <c r="B300" s="19"/>
      <c r="C300" s="19"/>
      <c r="D300" s="19"/>
      <c r="E300" s="19"/>
      <c r="F300" s="19"/>
      <c r="G300" s="19"/>
    </row>
    <row r="301" spans="1:7" ht="17.25" x14ac:dyDescent="0.15">
      <c r="A301" s="19"/>
      <c r="B301" s="19"/>
      <c r="C301" s="19"/>
      <c r="D301" s="19"/>
      <c r="E301" s="19"/>
      <c r="F301" s="19"/>
      <c r="G301" s="19"/>
    </row>
    <row r="302" spans="1:7" ht="17.25" x14ac:dyDescent="0.15">
      <c r="A302" s="19"/>
      <c r="B302" s="19"/>
      <c r="C302" s="19"/>
      <c r="D302" s="19"/>
      <c r="E302" s="19"/>
      <c r="F302" s="19"/>
      <c r="G302" s="19"/>
    </row>
    <row r="303" spans="1:7" ht="17.25" x14ac:dyDescent="0.15">
      <c r="A303" s="19"/>
      <c r="B303" s="19"/>
      <c r="C303" s="19"/>
      <c r="D303" s="19"/>
      <c r="E303" s="19"/>
      <c r="F303" s="19"/>
      <c r="G303" s="19"/>
    </row>
    <row r="304" spans="1:7" ht="17.25" x14ac:dyDescent="0.15">
      <c r="A304" s="19"/>
      <c r="B304" s="19"/>
      <c r="C304" s="19"/>
      <c r="D304" s="19"/>
      <c r="E304" s="19"/>
      <c r="F304" s="19"/>
      <c r="G304" s="19"/>
    </row>
    <row r="305" spans="1:7" ht="17.25" x14ac:dyDescent="0.15">
      <c r="A305" s="19"/>
      <c r="B305" s="19"/>
      <c r="C305" s="19"/>
      <c r="D305" s="19"/>
      <c r="E305" s="19"/>
      <c r="F305" s="19"/>
      <c r="G305" s="19"/>
    </row>
    <row r="306" spans="1:7" ht="17.25" x14ac:dyDescent="0.15">
      <c r="A306" s="19"/>
      <c r="B306" s="19"/>
      <c r="C306" s="19"/>
      <c r="D306" s="19"/>
      <c r="E306" s="19"/>
      <c r="F306" s="19"/>
      <c r="G306" s="19"/>
    </row>
    <row r="307" spans="1:7" ht="17.25" x14ac:dyDescent="0.15">
      <c r="A307" s="19"/>
      <c r="B307" s="19"/>
      <c r="C307" s="19"/>
      <c r="D307" s="19"/>
      <c r="E307" s="19"/>
      <c r="F307" s="19"/>
      <c r="G307" s="19"/>
    </row>
    <row r="308" spans="1:7" ht="17.25" x14ac:dyDescent="0.15">
      <c r="A308" s="19"/>
      <c r="B308" s="19"/>
      <c r="C308" s="19"/>
      <c r="D308" s="19"/>
      <c r="E308" s="19"/>
      <c r="F308" s="19"/>
      <c r="G308" s="19"/>
    </row>
    <row r="309" spans="1:7" ht="17.25" x14ac:dyDescent="0.15">
      <c r="A309" s="19"/>
      <c r="B309" s="19"/>
      <c r="C309" s="19"/>
      <c r="D309" s="19"/>
      <c r="E309" s="19"/>
      <c r="F309" s="19"/>
      <c r="G309" s="19"/>
    </row>
    <row r="310" spans="1:7" ht="17.25" x14ac:dyDescent="0.15">
      <c r="A310" s="19"/>
      <c r="B310" s="19"/>
      <c r="C310" s="19"/>
      <c r="D310" s="19"/>
      <c r="E310" s="19"/>
      <c r="F310" s="19"/>
      <c r="G310" s="19"/>
    </row>
    <row r="311" spans="1:7" ht="17.25" x14ac:dyDescent="0.15">
      <c r="A311" s="19"/>
      <c r="B311" s="19"/>
      <c r="C311" s="19"/>
      <c r="D311" s="19"/>
      <c r="E311" s="19"/>
      <c r="F311" s="19"/>
      <c r="G311" s="19"/>
    </row>
    <row r="312" spans="1:7" ht="17.25" x14ac:dyDescent="0.15">
      <c r="A312" s="19"/>
      <c r="B312" s="19"/>
      <c r="C312" s="19"/>
      <c r="D312" s="19"/>
      <c r="E312" s="19"/>
      <c r="F312" s="19"/>
      <c r="G312" s="19"/>
    </row>
    <row r="313" spans="1:7" ht="17.25" x14ac:dyDescent="0.15">
      <c r="A313" s="19"/>
      <c r="B313" s="19"/>
      <c r="C313" s="19"/>
      <c r="D313" s="19"/>
      <c r="E313" s="19"/>
      <c r="F313" s="19"/>
      <c r="G313" s="19"/>
    </row>
    <row r="314" spans="1:7" ht="17.25" x14ac:dyDescent="0.15">
      <c r="A314" s="19"/>
      <c r="B314" s="19"/>
      <c r="C314" s="19"/>
      <c r="D314" s="19"/>
      <c r="E314" s="19"/>
      <c r="F314" s="19"/>
      <c r="G314" s="19"/>
    </row>
    <row r="315" spans="1:7" ht="17.25" x14ac:dyDescent="0.15">
      <c r="A315" s="19"/>
      <c r="B315" s="19"/>
      <c r="C315" s="19"/>
      <c r="D315" s="19"/>
      <c r="E315" s="19"/>
      <c r="F315" s="19"/>
      <c r="G315" s="19"/>
    </row>
    <row r="316" spans="1:7" ht="17.25" x14ac:dyDescent="0.15">
      <c r="A316" s="19"/>
      <c r="B316" s="19"/>
      <c r="C316" s="19"/>
      <c r="D316" s="19"/>
      <c r="E316" s="19"/>
      <c r="F316" s="19"/>
      <c r="G316" s="19"/>
    </row>
    <row r="317" spans="1:7" ht="17.25" x14ac:dyDescent="0.15">
      <c r="A317" s="19"/>
      <c r="B317" s="19"/>
      <c r="C317" s="19"/>
      <c r="D317" s="19"/>
      <c r="E317" s="19"/>
      <c r="F317" s="19"/>
      <c r="G317" s="19"/>
    </row>
    <row r="318" spans="1:7" ht="17.25" x14ac:dyDescent="0.15">
      <c r="A318" s="19"/>
      <c r="B318" s="19"/>
      <c r="C318" s="19"/>
      <c r="D318" s="19"/>
      <c r="E318" s="19"/>
      <c r="F318" s="19"/>
      <c r="G318" s="19"/>
    </row>
    <row r="319" spans="1:7" ht="17.25" x14ac:dyDescent="0.15">
      <c r="A319" s="19"/>
      <c r="B319" s="19"/>
      <c r="C319" s="19"/>
      <c r="D319" s="19"/>
      <c r="E319" s="19"/>
      <c r="F319" s="19"/>
      <c r="G319" s="19"/>
    </row>
    <row r="320" spans="1:7" ht="17.25" x14ac:dyDescent="0.15">
      <c r="A320" s="19"/>
      <c r="B320" s="19"/>
      <c r="C320" s="19"/>
      <c r="D320" s="19"/>
      <c r="E320" s="19"/>
      <c r="F320" s="19"/>
      <c r="G320" s="19"/>
    </row>
    <row r="321" spans="1:7" ht="17.25" x14ac:dyDescent="0.15">
      <c r="A321" s="19"/>
      <c r="B321" s="19"/>
      <c r="C321" s="19"/>
      <c r="D321" s="19"/>
      <c r="E321" s="19"/>
      <c r="F321" s="19"/>
      <c r="G321" s="19"/>
    </row>
    <row r="322" spans="1:7" ht="17.25" x14ac:dyDescent="0.15">
      <c r="A322" s="19"/>
      <c r="B322" s="19"/>
      <c r="C322" s="19"/>
      <c r="D322" s="19"/>
      <c r="E322" s="19"/>
      <c r="F322" s="19"/>
      <c r="G322" s="19"/>
    </row>
    <row r="323" spans="1:7" ht="17.25" x14ac:dyDescent="0.15">
      <c r="A323" s="19"/>
      <c r="B323" s="19"/>
      <c r="C323" s="19"/>
      <c r="D323" s="19"/>
      <c r="E323" s="19"/>
      <c r="F323" s="19"/>
      <c r="G323" s="19"/>
    </row>
    <row r="324" spans="1:7" ht="17.25" x14ac:dyDescent="0.15">
      <c r="A324" s="19"/>
      <c r="B324" s="19"/>
      <c r="C324" s="19"/>
      <c r="D324" s="19"/>
      <c r="E324" s="19"/>
      <c r="F324" s="19"/>
      <c r="G324" s="19"/>
    </row>
    <row r="325" spans="1:7" ht="17.25" x14ac:dyDescent="0.15">
      <c r="A325" s="19"/>
      <c r="B325" s="19"/>
      <c r="C325" s="19"/>
      <c r="D325" s="19"/>
      <c r="E325" s="19"/>
      <c r="F325" s="19"/>
      <c r="G325" s="19"/>
    </row>
    <row r="326" spans="1:7" ht="17.25" x14ac:dyDescent="0.15">
      <c r="A326" s="19"/>
      <c r="B326" s="19"/>
      <c r="C326" s="19"/>
      <c r="D326" s="19"/>
      <c r="E326" s="19"/>
      <c r="F326" s="19"/>
      <c r="G326" s="19"/>
    </row>
    <row r="327" spans="1:7" ht="17.25" x14ac:dyDescent="0.15">
      <c r="A327" s="19"/>
      <c r="B327" s="19"/>
      <c r="C327" s="19"/>
      <c r="D327" s="19"/>
      <c r="E327" s="19"/>
      <c r="F327" s="19"/>
      <c r="G327" s="19"/>
    </row>
    <row r="328" spans="1:7" ht="17.25" x14ac:dyDescent="0.15">
      <c r="A328" s="19"/>
      <c r="B328" s="19"/>
      <c r="C328" s="19"/>
      <c r="D328" s="19"/>
      <c r="E328" s="19"/>
      <c r="F328" s="19"/>
      <c r="G328" s="19"/>
    </row>
    <row r="329" spans="1:7" ht="17.25" x14ac:dyDescent="0.15">
      <c r="A329" s="19"/>
      <c r="B329" s="19"/>
      <c r="C329" s="19"/>
      <c r="D329" s="19"/>
      <c r="E329" s="19"/>
      <c r="F329" s="19"/>
      <c r="G329" s="19"/>
    </row>
    <row r="330" spans="1:7" ht="17.25" x14ac:dyDescent="0.15">
      <c r="A330" s="19"/>
      <c r="B330" s="19"/>
      <c r="C330" s="19"/>
      <c r="D330" s="19"/>
      <c r="E330" s="19"/>
      <c r="F330" s="19"/>
      <c r="G330" s="19"/>
    </row>
    <row r="331" spans="1:7" ht="17.25" x14ac:dyDescent="0.15">
      <c r="A331" s="19"/>
      <c r="B331" s="19"/>
      <c r="C331" s="19"/>
      <c r="D331" s="19"/>
      <c r="E331" s="19"/>
      <c r="F331" s="19"/>
      <c r="G331" s="19"/>
    </row>
    <row r="332" spans="1:7" ht="17.25" x14ac:dyDescent="0.15">
      <c r="A332" s="19"/>
      <c r="B332" s="19"/>
      <c r="C332" s="19"/>
      <c r="D332" s="19"/>
      <c r="E332" s="19"/>
      <c r="F332" s="19"/>
      <c r="G332" s="19"/>
    </row>
    <row r="333" spans="1:7" ht="17.25" x14ac:dyDescent="0.15">
      <c r="A333" s="19"/>
      <c r="B333" s="19"/>
      <c r="C333" s="19"/>
      <c r="D333" s="19"/>
      <c r="E333" s="19"/>
      <c r="F333" s="19"/>
      <c r="G333" s="19"/>
    </row>
    <row r="334" spans="1:7" ht="17.25" x14ac:dyDescent="0.15">
      <c r="A334" s="19"/>
      <c r="B334" s="19"/>
      <c r="C334" s="19"/>
      <c r="D334" s="19"/>
      <c r="E334" s="19"/>
      <c r="F334" s="19"/>
      <c r="G334" s="19"/>
    </row>
    <row r="335" spans="1:7" ht="17.25" x14ac:dyDescent="0.15">
      <c r="A335" s="19"/>
      <c r="B335" s="19"/>
      <c r="C335" s="19"/>
      <c r="D335" s="19"/>
      <c r="E335" s="19"/>
      <c r="F335" s="19"/>
      <c r="G335" s="19"/>
    </row>
    <row r="336" spans="1:7" ht="17.25" x14ac:dyDescent="0.15">
      <c r="A336" s="19"/>
      <c r="B336" s="19"/>
      <c r="C336" s="19"/>
      <c r="D336" s="19"/>
      <c r="E336" s="19"/>
      <c r="F336" s="19"/>
      <c r="G336" s="19"/>
    </row>
    <row r="337" spans="1:7" ht="17.25" x14ac:dyDescent="0.15">
      <c r="A337" s="19"/>
      <c r="B337" s="19"/>
      <c r="C337" s="19"/>
      <c r="D337" s="19"/>
      <c r="E337" s="19"/>
      <c r="F337" s="19"/>
      <c r="G337" s="19"/>
    </row>
    <row r="338" spans="1:7" ht="17.25" x14ac:dyDescent="0.15">
      <c r="A338" s="19"/>
      <c r="B338" s="19"/>
      <c r="C338" s="19"/>
      <c r="D338" s="19"/>
      <c r="E338" s="19"/>
      <c r="F338" s="19"/>
      <c r="G338" s="19"/>
    </row>
    <row r="339" spans="1:7" ht="17.25" x14ac:dyDescent="0.15">
      <c r="A339" s="19"/>
      <c r="B339" s="19"/>
      <c r="C339" s="19"/>
      <c r="D339" s="19"/>
      <c r="E339" s="19"/>
      <c r="F339" s="19"/>
      <c r="G339" s="19"/>
    </row>
    <row r="340" spans="1:7" ht="17.25" x14ac:dyDescent="0.15">
      <c r="A340" s="19"/>
      <c r="B340" s="19"/>
      <c r="C340" s="19"/>
      <c r="D340" s="19"/>
      <c r="E340" s="19"/>
      <c r="F340" s="19"/>
      <c r="G340" s="19"/>
    </row>
    <row r="341" spans="1:7" ht="17.25" x14ac:dyDescent="0.15">
      <c r="A341" s="19"/>
      <c r="B341" s="19"/>
      <c r="C341" s="19"/>
      <c r="D341" s="19"/>
      <c r="E341" s="19"/>
      <c r="F341" s="19"/>
      <c r="G341" s="19"/>
    </row>
    <row r="342" spans="1:7" ht="17.25" x14ac:dyDescent="0.15">
      <c r="A342" s="19"/>
      <c r="B342" s="19"/>
      <c r="C342" s="19"/>
      <c r="D342" s="19"/>
      <c r="E342" s="19"/>
      <c r="F342" s="19"/>
      <c r="G342" s="19"/>
    </row>
    <row r="343" spans="1:7" ht="17.25" x14ac:dyDescent="0.15">
      <c r="A343" s="19"/>
      <c r="B343" s="19"/>
      <c r="C343" s="19"/>
      <c r="D343" s="19"/>
      <c r="E343" s="19"/>
      <c r="F343" s="19"/>
      <c r="G343" s="19"/>
    </row>
    <row r="344" spans="1:7" ht="17.25" x14ac:dyDescent="0.15">
      <c r="A344" s="19"/>
      <c r="B344" s="19"/>
      <c r="C344" s="19"/>
      <c r="D344" s="19"/>
      <c r="E344" s="19"/>
      <c r="F344" s="19"/>
      <c r="G344" s="19"/>
    </row>
    <row r="345" spans="1:7" ht="17.25" x14ac:dyDescent="0.15">
      <c r="A345" s="19"/>
      <c r="B345" s="19"/>
      <c r="C345" s="19"/>
      <c r="D345" s="19"/>
      <c r="E345" s="19"/>
      <c r="F345" s="19"/>
      <c r="G345" s="19"/>
    </row>
    <row r="346" spans="1:7" ht="17.25" x14ac:dyDescent="0.15">
      <c r="A346" s="19"/>
      <c r="B346" s="19"/>
      <c r="C346" s="19"/>
      <c r="D346" s="19"/>
      <c r="E346" s="19"/>
      <c r="F346" s="19"/>
      <c r="G346" s="19"/>
    </row>
    <row r="347" spans="1:7" ht="17.25" x14ac:dyDescent="0.15">
      <c r="A347" s="19"/>
      <c r="B347" s="19"/>
      <c r="C347" s="19"/>
      <c r="D347" s="19"/>
      <c r="E347" s="19"/>
      <c r="F347" s="19"/>
      <c r="G347" s="19"/>
    </row>
    <row r="348" spans="1:7" ht="17.25" x14ac:dyDescent="0.15">
      <c r="A348" s="19"/>
      <c r="B348" s="19"/>
      <c r="C348" s="19"/>
      <c r="D348" s="19"/>
      <c r="E348" s="19"/>
      <c r="F348" s="19"/>
      <c r="G348" s="19"/>
    </row>
    <row r="349" spans="1:7" ht="17.25" x14ac:dyDescent="0.15">
      <c r="A349" s="19"/>
      <c r="B349" s="19"/>
      <c r="C349" s="19"/>
      <c r="D349" s="19"/>
      <c r="E349" s="19"/>
      <c r="F349" s="19"/>
      <c r="G349" s="19"/>
    </row>
    <row r="350" spans="1:7" ht="17.25" x14ac:dyDescent="0.15">
      <c r="A350" s="19"/>
      <c r="B350" s="19"/>
      <c r="C350" s="19"/>
      <c r="D350" s="19"/>
      <c r="E350" s="19"/>
      <c r="F350" s="19"/>
      <c r="G350" s="19"/>
    </row>
    <row r="351" spans="1:7" ht="17.25" x14ac:dyDescent="0.15">
      <c r="A351" s="19"/>
      <c r="B351" s="19"/>
      <c r="C351" s="19"/>
      <c r="D351" s="19"/>
      <c r="E351" s="19"/>
      <c r="F351" s="19"/>
      <c r="G351" s="19"/>
    </row>
    <row r="352" spans="1:7" ht="17.25" x14ac:dyDescent="0.15">
      <c r="A352" s="19"/>
      <c r="B352" s="19"/>
      <c r="C352" s="19"/>
      <c r="D352" s="19"/>
      <c r="E352" s="19"/>
      <c r="F352" s="19"/>
      <c r="G352" s="19"/>
    </row>
    <row r="353" spans="1:7" ht="17.25" x14ac:dyDescent="0.15">
      <c r="A353" s="19"/>
      <c r="B353" s="19"/>
      <c r="C353" s="19"/>
      <c r="D353" s="19"/>
      <c r="E353" s="19"/>
      <c r="F353" s="19"/>
      <c r="G353" s="19"/>
    </row>
    <row r="354" spans="1:7" ht="17.25" x14ac:dyDescent="0.15">
      <c r="A354" s="19"/>
      <c r="B354" s="19"/>
      <c r="C354" s="19"/>
      <c r="D354" s="19"/>
      <c r="E354" s="19"/>
      <c r="F354" s="19"/>
      <c r="G354" s="19"/>
    </row>
    <row r="355" spans="1:7" ht="17.25" x14ac:dyDescent="0.15">
      <c r="A355" s="19"/>
      <c r="B355" s="19"/>
      <c r="C355" s="19"/>
      <c r="D355" s="19"/>
      <c r="E355" s="19"/>
      <c r="F355" s="19"/>
      <c r="G355" s="19"/>
    </row>
    <row r="356" spans="1:7" ht="17.25" x14ac:dyDescent="0.15">
      <c r="A356" s="19"/>
      <c r="B356" s="19"/>
      <c r="C356" s="19"/>
      <c r="D356" s="19"/>
      <c r="E356" s="19"/>
      <c r="F356" s="19"/>
      <c r="G356" s="19"/>
    </row>
    <row r="357" spans="1:7" ht="17.25" x14ac:dyDescent="0.15">
      <c r="A357" s="19"/>
      <c r="B357" s="19"/>
      <c r="C357" s="19"/>
      <c r="D357" s="19"/>
      <c r="E357" s="19"/>
      <c r="F357" s="19"/>
      <c r="G357" s="19"/>
    </row>
    <row r="358" spans="1:7" ht="17.25" x14ac:dyDescent="0.15">
      <c r="A358" s="19"/>
      <c r="B358" s="19"/>
      <c r="C358" s="19"/>
      <c r="D358" s="19"/>
      <c r="E358" s="19"/>
      <c r="F358" s="19"/>
      <c r="G358" s="19"/>
    </row>
    <row r="359" spans="1:7" ht="17.25" x14ac:dyDescent="0.15">
      <c r="A359" s="19"/>
      <c r="B359" s="19"/>
      <c r="C359" s="19"/>
      <c r="D359" s="19"/>
      <c r="E359" s="19"/>
      <c r="F359" s="19"/>
      <c r="G359" s="19"/>
    </row>
    <row r="360" spans="1:7" ht="17.25" x14ac:dyDescent="0.15">
      <c r="A360" s="19"/>
      <c r="B360" s="19"/>
      <c r="C360" s="19"/>
      <c r="D360" s="19"/>
      <c r="E360" s="19"/>
      <c r="F360" s="19"/>
      <c r="G360" s="19"/>
    </row>
    <row r="361" spans="1:7" ht="17.25" x14ac:dyDescent="0.15">
      <c r="A361" s="19"/>
      <c r="B361" s="19"/>
      <c r="C361" s="19"/>
      <c r="D361" s="19"/>
      <c r="E361" s="19"/>
      <c r="F361" s="19"/>
      <c r="G361" s="19"/>
    </row>
    <row r="362" spans="1:7" ht="17.25" x14ac:dyDescent="0.15">
      <c r="A362" s="19"/>
      <c r="B362" s="19"/>
      <c r="C362" s="19"/>
      <c r="D362" s="19"/>
      <c r="E362" s="19"/>
      <c r="F362" s="19"/>
      <c r="G362" s="19"/>
    </row>
    <row r="363" spans="1:7" ht="17.25" x14ac:dyDescent="0.15">
      <c r="A363" s="19"/>
      <c r="B363" s="19"/>
      <c r="C363" s="19"/>
      <c r="D363" s="19"/>
      <c r="E363" s="19"/>
      <c r="F363" s="19"/>
      <c r="G363" s="19"/>
    </row>
    <row r="364" spans="1:7" ht="17.25" x14ac:dyDescent="0.15">
      <c r="A364" s="19"/>
      <c r="B364" s="19"/>
      <c r="C364" s="19"/>
      <c r="D364" s="19"/>
      <c r="E364" s="19"/>
      <c r="F364" s="19"/>
      <c r="G364" s="19"/>
    </row>
    <row r="365" spans="1:7" ht="17.25" x14ac:dyDescent="0.15">
      <c r="A365" s="19"/>
      <c r="B365" s="19"/>
      <c r="C365" s="19"/>
      <c r="D365" s="19"/>
      <c r="E365" s="19"/>
      <c r="F365" s="19"/>
      <c r="G365" s="19"/>
    </row>
    <row r="366" spans="1:7" ht="17.25" x14ac:dyDescent="0.15">
      <c r="A366" s="19"/>
      <c r="B366" s="19"/>
      <c r="C366" s="19"/>
      <c r="D366" s="19"/>
      <c r="E366" s="19"/>
      <c r="F366" s="19"/>
      <c r="G366" s="19"/>
    </row>
    <row r="367" spans="1:7" ht="17.25" x14ac:dyDescent="0.15">
      <c r="A367" s="19"/>
      <c r="B367" s="19"/>
      <c r="C367" s="19"/>
      <c r="D367" s="19"/>
      <c r="E367" s="19"/>
      <c r="F367" s="19"/>
      <c r="G367" s="19"/>
    </row>
    <row r="368" spans="1:7" ht="17.25" x14ac:dyDescent="0.15">
      <c r="A368" s="19"/>
      <c r="B368" s="19"/>
      <c r="C368" s="19"/>
      <c r="D368" s="19"/>
      <c r="E368" s="19"/>
      <c r="F368" s="19"/>
      <c r="G368" s="19"/>
    </row>
    <row r="369" spans="1:7" ht="17.25" x14ac:dyDescent="0.15">
      <c r="A369" s="19"/>
      <c r="B369" s="19"/>
      <c r="C369" s="19"/>
      <c r="D369" s="19"/>
      <c r="E369" s="19"/>
      <c r="F369" s="19"/>
      <c r="G369" s="19"/>
    </row>
    <row r="370" spans="1:7" ht="17.25" x14ac:dyDescent="0.15">
      <c r="A370" s="19"/>
      <c r="B370" s="19"/>
      <c r="C370" s="19"/>
      <c r="D370" s="19"/>
      <c r="E370" s="19"/>
      <c r="F370" s="19"/>
      <c r="G370" s="19"/>
    </row>
    <row r="371" spans="1:7" ht="17.25" x14ac:dyDescent="0.15">
      <c r="A371" s="19"/>
      <c r="B371" s="19"/>
      <c r="C371" s="19"/>
      <c r="D371" s="19"/>
      <c r="E371" s="19"/>
      <c r="F371" s="19"/>
      <c r="G371" s="19"/>
    </row>
    <row r="372" spans="1:7" ht="17.25" x14ac:dyDescent="0.15">
      <c r="A372" s="19"/>
      <c r="B372" s="19"/>
      <c r="C372" s="19"/>
      <c r="D372" s="19"/>
      <c r="E372" s="19"/>
      <c r="F372" s="19"/>
      <c r="G372" s="19"/>
    </row>
    <row r="373" spans="1:7" ht="17.25" x14ac:dyDescent="0.15">
      <c r="A373" s="19"/>
      <c r="B373" s="19"/>
      <c r="C373" s="19"/>
      <c r="D373" s="19"/>
      <c r="E373" s="19"/>
      <c r="F373" s="19"/>
      <c r="G373" s="19"/>
    </row>
    <row r="374" spans="1:7" ht="17.25" x14ac:dyDescent="0.15">
      <c r="A374" s="19"/>
      <c r="B374" s="19"/>
      <c r="C374" s="19"/>
      <c r="D374" s="19"/>
      <c r="E374" s="19"/>
      <c r="F374" s="19"/>
      <c r="G374" s="19"/>
    </row>
    <row r="375" spans="1:7" ht="17.25" x14ac:dyDescent="0.15">
      <c r="A375" s="19"/>
      <c r="B375" s="19"/>
      <c r="C375" s="19"/>
      <c r="D375" s="19"/>
      <c r="E375" s="19"/>
      <c r="F375" s="19"/>
      <c r="G375" s="19"/>
    </row>
    <row r="376" spans="1:7" ht="17.25" x14ac:dyDescent="0.15">
      <c r="A376" s="19"/>
      <c r="B376" s="19"/>
      <c r="C376" s="19"/>
      <c r="D376" s="19"/>
      <c r="E376" s="19"/>
      <c r="F376" s="19"/>
      <c r="G376" s="19"/>
    </row>
    <row r="377" spans="1:7" ht="17.25" x14ac:dyDescent="0.15">
      <c r="A377" s="19"/>
      <c r="B377" s="19"/>
      <c r="C377" s="19"/>
      <c r="D377" s="19"/>
      <c r="E377" s="19"/>
      <c r="F377" s="19"/>
      <c r="G377" s="19"/>
    </row>
    <row r="378" spans="1:7" ht="17.25" x14ac:dyDescent="0.15">
      <c r="A378" s="19"/>
      <c r="B378" s="19"/>
      <c r="C378" s="19"/>
      <c r="D378" s="19"/>
      <c r="E378" s="19"/>
      <c r="F378" s="19"/>
      <c r="G378" s="19"/>
    </row>
    <row r="379" spans="1:7" ht="17.25" x14ac:dyDescent="0.15">
      <c r="A379" s="19"/>
      <c r="B379" s="19"/>
      <c r="C379" s="19"/>
      <c r="D379" s="19"/>
      <c r="E379" s="19"/>
      <c r="F379" s="19"/>
      <c r="G379" s="19"/>
    </row>
    <row r="380" spans="1:7" ht="17.25" x14ac:dyDescent="0.15">
      <c r="A380" s="19"/>
      <c r="B380" s="19"/>
      <c r="C380" s="19"/>
      <c r="D380" s="19"/>
      <c r="E380" s="19"/>
      <c r="F380" s="19"/>
      <c r="G380" s="19"/>
    </row>
    <row r="381" spans="1:7" ht="17.25" x14ac:dyDescent="0.15">
      <c r="A381" s="19"/>
      <c r="B381" s="19"/>
      <c r="C381" s="19"/>
      <c r="D381" s="19"/>
      <c r="E381" s="19"/>
      <c r="F381" s="19"/>
      <c r="G381" s="19"/>
    </row>
    <row r="382" spans="1:7" ht="17.25" x14ac:dyDescent="0.15">
      <c r="A382" s="19"/>
      <c r="B382" s="19"/>
      <c r="C382" s="19"/>
      <c r="D382" s="19"/>
      <c r="E382" s="19"/>
      <c r="F382" s="19"/>
      <c r="G382" s="19"/>
    </row>
    <row r="383" spans="1:7" ht="17.25" x14ac:dyDescent="0.15">
      <c r="A383" s="19"/>
      <c r="B383" s="19"/>
      <c r="C383" s="19"/>
      <c r="D383" s="19"/>
      <c r="E383" s="19"/>
      <c r="F383" s="19"/>
      <c r="G383" s="19"/>
    </row>
    <row r="384" spans="1:7" ht="17.25" x14ac:dyDescent="0.15">
      <c r="A384" s="19"/>
      <c r="B384" s="19"/>
      <c r="C384" s="19"/>
      <c r="D384" s="19"/>
      <c r="E384" s="19"/>
      <c r="F384" s="19"/>
      <c r="G384" s="19"/>
    </row>
    <row r="385" spans="1:7" ht="17.25" x14ac:dyDescent="0.15">
      <c r="A385" s="19"/>
      <c r="B385" s="19"/>
      <c r="C385" s="19"/>
      <c r="D385" s="19"/>
      <c r="E385" s="19"/>
      <c r="F385" s="19"/>
      <c r="G385" s="19"/>
    </row>
    <row r="386" spans="1:7" ht="17.25" x14ac:dyDescent="0.15">
      <c r="A386" s="19"/>
      <c r="B386" s="19"/>
      <c r="C386" s="19"/>
      <c r="D386" s="19"/>
      <c r="E386" s="19"/>
      <c r="F386" s="19"/>
      <c r="G386" s="19"/>
    </row>
    <row r="387" spans="1:7" ht="17.25" x14ac:dyDescent="0.15">
      <c r="A387" s="19"/>
      <c r="B387" s="19"/>
      <c r="C387" s="19"/>
      <c r="D387" s="19"/>
      <c r="E387" s="19"/>
      <c r="F387" s="19"/>
      <c r="G387" s="19"/>
    </row>
    <row r="388" spans="1:7" ht="17.25" x14ac:dyDescent="0.15">
      <c r="A388" s="19"/>
      <c r="B388" s="19"/>
      <c r="C388" s="19"/>
      <c r="D388" s="19"/>
      <c r="E388" s="19"/>
      <c r="F388" s="19"/>
      <c r="G388" s="19"/>
    </row>
    <row r="389" spans="1:7" ht="17.25" x14ac:dyDescent="0.15">
      <c r="A389" s="19"/>
      <c r="B389" s="19"/>
      <c r="C389" s="19"/>
      <c r="D389" s="19"/>
      <c r="E389" s="19"/>
      <c r="F389" s="19"/>
      <c r="G389" s="19"/>
    </row>
    <row r="390" spans="1:7" ht="17.25" x14ac:dyDescent="0.15">
      <c r="A390" s="19"/>
      <c r="B390" s="19"/>
      <c r="C390" s="19"/>
      <c r="D390" s="19"/>
      <c r="E390" s="19"/>
      <c r="F390" s="19"/>
      <c r="G390" s="19"/>
    </row>
    <row r="391" spans="1:7" ht="17.25" x14ac:dyDescent="0.15">
      <c r="A391" s="19"/>
      <c r="B391" s="19"/>
      <c r="C391" s="19"/>
      <c r="D391" s="19"/>
      <c r="E391" s="19"/>
      <c r="F391" s="19"/>
      <c r="G391" s="19"/>
    </row>
    <row r="392" spans="1:7" ht="17.25" x14ac:dyDescent="0.15">
      <c r="A392" s="19"/>
      <c r="B392" s="19"/>
      <c r="C392" s="19"/>
      <c r="D392" s="19"/>
      <c r="E392" s="19"/>
      <c r="F392" s="19"/>
      <c r="G392" s="19"/>
    </row>
    <row r="393" spans="1:7" ht="17.25" x14ac:dyDescent="0.15">
      <c r="A393" s="19"/>
      <c r="B393" s="19"/>
      <c r="C393" s="19"/>
      <c r="D393" s="19"/>
      <c r="E393" s="19"/>
      <c r="F393" s="19"/>
      <c r="G393" s="19"/>
    </row>
    <row r="394" spans="1:7" ht="17.25" x14ac:dyDescent="0.15">
      <c r="A394" s="19"/>
      <c r="B394" s="19"/>
      <c r="C394" s="19"/>
      <c r="D394" s="19"/>
      <c r="E394" s="19"/>
      <c r="F394" s="19"/>
      <c r="G394" s="19"/>
    </row>
    <row r="395" spans="1:7" ht="17.25" x14ac:dyDescent="0.15">
      <c r="A395" s="19"/>
      <c r="B395" s="19"/>
      <c r="C395" s="19"/>
      <c r="D395" s="19"/>
      <c r="E395" s="19"/>
      <c r="F395" s="19"/>
      <c r="G395" s="19"/>
    </row>
    <row r="396" spans="1:7" ht="17.25" x14ac:dyDescent="0.15">
      <c r="A396" s="19"/>
      <c r="B396" s="19"/>
      <c r="C396" s="19"/>
      <c r="D396" s="19"/>
      <c r="E396" s="19"/>
      <c r="F396" s="19"/>
      <c r="G396" s="19"/>
    </row>
    <row r="397" spans="1:7" ht="17.25" x14ac:dyDescent="0.15">
      <c r="A397" s="19"/>
      <c r="B397" s="19"/>
      <c r="C397" s="19"/>
      <c r="D397" s="19"/>
      <c r="E397" s="19"/>
      <c r="F397" s="19"/>
      <c r="G397" s="19"/>
    </row>
    <row r="398" spans="1:7" ht="17.25" x14ac:dyDescent="0.15">
      <c r="A398" s="19"/>
      <c r="B398" s="19"/>
      <c r="C398" s="19"/>
      <c r="D398" s="19"/>
      <c r="E398" s="19"/>
      <c r="F398" s="19"/>
      <c r="G398" s="19"/>
    </row>
    <row r="399" spans="1:7" ht="17.25" x14ac:dyDescent="0.15">
      <c r="A399" s="19"/>
      <c r="B399" s="19"/>
      <c r="C399" s="19"/>
      <c r="D399" s="19"/>
      <c r="E399" s="19"/>
      <c r="F399" s="19"/>
      <c r="G399" s="19"/>
    </row>
    <row r="400" spans="1:7" ht="17.25" x14ac:dyDescent="0.15">
      <c r="A400" s="19"/>
      <c r="B400" s="19"/>
      <c r="C400" s="19"/>
      <c r="D400" s="19"/>
      <c r="E400" s="19"/>
      <c r="F400" s="19"/>
      <c r="G400" s="19"/>
    </row>
    <row r="401" spans="1:7" ht="17.25" x14ac:dyDescent="0.15">
      <c r="A401" s="19"/>
      <c r="B401" s="19"/>
      <c r="C401" s="19"/>
      <c r="D401" s="19"/>
      <c r="E401" s="19"/>
      <c r="F401" s="19"/>
      <c r="G401" s="19"/>
    </row>
    <row r="402" spans="1:7" ht="17.25" x14ac:dyDescent="0.15">
      <c r="A402" s="19"/>
      <c r="B402" s="19"/>
      <c r="C402" s="19"/>
      <c r="D402" s="19"/>
      <c r="E402" s="19"/>
      <c r="F402" s="19"/>
      <c r="G402" s="19"/>
    </row>
    <row r="403" spans="1:7" ht="17.25" x14ac:dyDescent="0.15">
      <c r="A403" s="19"/>
      <c r="B403" s="19"/>
      <c r="C403" s="19"/>
      <c r="D403" s="19"/>
      <c r="E403" s="19"/>
      <c r="F403" s="19"/>
      <c r="G403" s="19"/>
    </row>
    <row r="404" spans="1:7" ht="17.25" x14ac:dyDescent="0.15">
      <c r="A404" s="19"/>
      <c r="B404" s="19"/>
      <c r="C404" s="19"/>
      <c r="D404" s="19"/>
      <c r="E404" s="19"/>
      <c r="F404" s="19"/>
      <c r="G404" s="19"/>
    </row>
    <row r="405" spans="1:7" ht="17.25" x14ac:dyDescent="0.15">
      <c r="A405" s="19"/>
      <c r="B405" s="19"/>
      <c r="C405" s="19"/>
      <c r="D405" s="19"/>
      <c r="E405" s="19"/>
      <c r="F405" s="19"/>
      <c r="G405" s="19"/>
    </row>
    <row r="406" spans="1:7" ht="17.25" x14ac:dyDescent="0.15">
      <c r="A406" s="19"/>
      <c r="B406" s="19"/>
      <c r="C406" s="19"/>
      <c r="D406" s="19"/>
      <c r="E406" s="19"/>
      <c r="F406" s="19"/>
      <c r="G406" s="19"/>
    </row>
    <row r="407" spans="1:7" ht="17.25" x14ac:dyDescent="0.15">
      <c r="A407" s="19"/>
      <c r="B407" s="19"/>
      <c r="C407" s="19"/>
      <c r="D407" s="19"/>
      <c r="E407" s="19"/>
      <c r="F407" s="19"/>
      <c r="G407" s="19"/>
    </row>
    <row r="408" spans="1:7" ht="17.25" x14ac:dyDescent="0.15">
      <c r="A408" s="19"/>
      <c r="B408" s="19"/>
      <c r="C408" s="19"/>
      <c r="D408" s="19"/>
      <c r="E408" s="19"/>
      <c r="F408" s="19"/>
      <c r="G408" s="19"/>
    </row>
    <row r="409" spans="1:7" ht="17.25" x14ac:dyDescent="0.15">
      <c r="A409" s="19"/>
      <c r="B409" s="19"/>
      <c r="C409" s="19"/>
      <c r="D409" s="19"/>
      <c r="E409" s="19"/>
      <c r="F409" s="19"/>
      <c r="G409" s="19"/>
    </row>
    <row r="410" spans="1:7" ht="17.25" x14ac:dyDescent="0.15">
      <c r="A410" s="19"/>
      <c r="B410" s="19"/>
      <c r="C410" s="19"/>
      <c r="D410" s="19"/>
      <c r="E410" s="19"/>
      <c r="F410" s="19"/>
      <c r="G410" s="19"/>
    </row>
    <row r="411" spans="1:7" ht="17.25" x14ac:dyDescent="0.15">
      <c r="A411" s="19"/>
      <c r="B411" s="19"/>
      <c r="C411" s="19"/>
      <c r="D411" s="19"/>
      <c r="E411" s="19"/>
      <c r="F411" s="19"/>
      <c r="G411" s="19"/>
    </row>
    <row r="412" spans="1:7" ht="17.25" x14ac:dyDescent="0.15">
      <c r="A412" s="19"/>
      <c r="B412" s="19"/>
      <c r="C412" s="19"/>
      <c r="D412" s="19"/>
      <c r="E412" s="19"/>
      <c r="F412" s="19"/>
      <c r="G412" s="19"/>
    </row>
    <row r="413" spans="1:7" ht="17.25" x14ac:dyDescent="0.15">
      <c r="A413" s="19"/>
      <c r="B413" s="19"/>
      <c r="C413" s="19"/>
      <c r="D413" s="19"/>
      <c r="E413" s="19"/>
      <c r="F413" s="19"/>
      <c r="G413" s="19"/>
    </row>
    <row r="414" spans="1:7" ht="17.25" x14ac:dyDescent="0.15">
      <c r="A414" s="19"/>
      <c r="B414" s="19"/>
      <c r="C414" s="19"/>
      <c r="D414" s="19"/>
      <c r="E414" s="19"/>
      <c r="F414" s="19"/>
      <c r="G414" s="19"/>
    </row>
    <row r="415" spans="1:7" ht="17.25" x14ac:dyDescent="0.15">
      <c r="A415" s="19"/>
      <c r="B415" s="19"/>
      <c r="C415" s="19"/>
      <c r="D415" s="19"/>
      <c r="E415" s="19"/>
      <c r="F415" s="19"/>
      <c r="G415" s="19"/>
    </row>
    <row r="416" spans="1:7" ht="17.25" x14ac:dyDescent="0.15">
      <c r="A416" s="19"/>
      <c r="B416" s="19"/>
      <c r="C416" s="19"/>
      <c r="D416" s="19"/>
      <c r="E416" s="19"/>
      <c r="F416" s="19"/>
      <c r="G416" s="19"/>
    </row>
    <row r="417" spans="1:7" ht="17.25" x14ac:dyDescent="0.15">
      <c r="A417" s="19"/>
      <c r="B417" s="19"/>
      <c r="C417" s="19"/>
      <c r="D417" s="19"/>
      <c r="E417" s="19"/>
      <c r="F417" s="19"/>
      <c r="G417" s="19"/>
    </row>
    <row r="418" spans="1:7" ht="17.25" x14ac:dyDescent="0.15">
      <c r="A418" s="19"/>
      <c r="B418" s="19"/>
      <c r="C418" s="19"/>
      <c r="D418" s="19"/>
      <c r="E418" s="19"/>
      <c r="F418" s="19"/>
      <c r="G418" s="19"/>
    </row>
    <row r="419" spans="1:7" ht="17.25" x14ac:dyDescent="0.15">
      <c r="A419" s="19"/>
      <c r="B419" s="19"/>
      <c r="C419" s="19"/>
      <c r="D419" s="19"/>
      <c r="E419" s="19"/>
      <c r="F419" s="19"/>
      <c r="G419" s="19"/>
    </row>
    <row r="420" spans="1:7" ht="17.25" x14ac:dyDescent="0.15">
      <c r="A420" s="19"/>
      <c r="B420" s="19"/>
      <c r="C420" s="19"/>
      <c r="D420" s="19"/>
      <c r="E420" s="19"/>
      <c r="F420" s="19"/>
      <c r="G420" s="19"/>
    </row>
    <row r="421" spans="1:7" ht="17.25" x14ac:dyDescent="0.15">
      <c r="A421" s="19"/>
      <c r="B421" s="19"/>
      <c r="C421" s="19"/>
      <c r="D421" s="19"/>
      <c r="E421" s="19"/>
      <c r="F421" s="19"/>
      <c r="G421" s="19"/>
    </row>
    <row r="422" spans="1:7" ht="17.25" x14ac:dyDescent="0.15">
      <c r="A422" s="19"/>
      <c r="B422" s="19"/>
      <c r="C422" s="19"/>
      <c r="D422" s="19"/>
      <c r="E422" s="19"/>
      <c r="F422" s="19"/>
      <c r="G422" s="19"/>
    </row>
    <row r="423" spans="1:7" ht="17.25" x14ac:dyDescent="0.15">
      <c r="A423" s="19"/>
      <c r="B423" s="19"/>
      <c r="C423" s="19"/>
      <c r="D423" s="19"/>
      <c r="E423" s="19"/>
      <c r="F423" s="19"/>
      <c r="G423" s="19"/>
    </row>
    <row r="424" spans="1:7" ht="17.25" x14ac:dyDescent="0.15">
      <c r="A424" s="19"/>
      <c r="B424" s="19"/>
      <c r="C424" s="19"/>
      <c r="D424" s="19"/>
      <c r="E424" s="19"/>
      <c r="F424" s="19"/>
      <c r="G424" s="19"/>
    </row>
    <row r="425" spans="1:7" ht="17.25" x14ac:dyDescent="0.15">
      <c r="A425" s="19"/>
      <c r="B425" s="19"/>
      <c r="C425" s="19"/>
      <c r="D425" s="19"/>
      <c r="E425" s="19"/>
      <c r="F425" s="19"/>
      <c r="G425" s="19"/>
    </row>
    <row r="426" spans="1:7" ht="17.25" x14ac:dyDescent="0.15">
      <c r="A426" s="19"/>
      <c r="B426" s="19"/>
      <c r="C426" s="19"/>
      <c r="D426" s="19"/>
      <c r="E426" s="19"/>
      <c r="F426" s="19"/>
      <c r="G426" s="19"/>
    </row>
    <row r="427" spans="1:7" ht="17.25" x14ac:dyDescent="0.15">
      <c r="A427" s="19"/>
      <c r="B427" s="19"/>
      <c r="C427" s="19"/>
      <c r="D427" s="19"/>
      <c r="E427" s="19"/>
      <c r="F427" s="19"/>
      <c r="G427" s="19"/>
    </row>
    <row r="428" spans="1:7" ht="17.25" x14ac:dyDescent="0.15">
      <c r="A428" s="19"/>
      <c r="B428" s="19"/>
      <c r="C428" s="19"/>
      <c r="D428" s="19"/>
      <c r="E428" s="19"/>
      <c r="F428" s="19"/>
      <c r="G428" s="19"/>
    </row>
    <row r="429" spans="1:7" ht="17.25" x14ac:dyDescent="0.15">
      <c r="A429" s="19"/>
      <c r="B429" s="19"/>
      <c r="C429" s="19"/>
      <c r="D429" s="19"/>
      <c r="E429" s="19"/>
      <c r="F429" s="19"/>
      <c r="G429" s="19"/>
    </row>
    <row r="430" spans="1:7" ht="17.25" x14ac:dyDescent="0.15">
      <c r="A430" s="19"/>
      <c r="B430" s="19"/>
      <c r="C430" s="19"/>
      <c r="D430" s="19"/>
      <c r="E430" s="19"/>
      <c r="F430" s="19"/>
      <c r="G430" s="19"/>
    </row>
    <row r="431" spans="1:7" ht="17.25" x14ac:dyDescent="0.15">
      <c r="A431" s="19"/>
      <c r="B431" s="19"/>
      <c r="C431" s="19"/>
      <c r="D431" s="19"/>
      <c r="E431" s="19"/>
      <c r="F431" s="19"/>
      <c r="G431" s="19"/>
    </row>
    <row r="432" spans="1:7" ht="17.25" x14ac:dyDescent="0.15">
      <c r="A432" s="19"/>
      <c r="B432" s="19"/>
      <c r="C432" s="19"/>
      <c r="D432" s="19"/>
      <c r="E432" s="19"/>
      <c r="F432" s="19"/>
      <c r="G432" s="19"/>
    </row>
    <row r="433" spans="1:7" ht="17.25" x14ac:dyDescent="0.15">
      <c r="A433" s="19"/>
      <c r="B433" s="19"/>
      <c r="C433" s="19"/>
      <c r="D433" s="19"/>
      <c r="E433" s="19"/>
      <c r="F433" s="19"/>
      <c r="G433" s="19"/>
    </row>
    <row r="434" spans="1:7" ht="17.25" x14ac:dyDescent="0.15">
      <c r="A434" s="19"/>
      <c r="B434" s="19"/>
      <c r="C434" s="19"/>
      <c r="D434" s="19"/>
      <c r="E434" s="19"/>
      <c r="F434" s="19"/>
      <c r="G434" s="19"/>
    </row>
    <row r="435" spans="1:7" ht="17.25" x14ac:dyDescent="0.15">
      <c r="A435" s="19"/>
      <c r="B435" s="19"/>
      <c r="C435" s="19"/>
      <c r="D435" s="19"/>
      <c r="E435" s="19"/>
      <c r="F435" s="19"/>
      <c r="G435" s="19"/>
    </row>
    <row r="436" spans="1:7" ht="17.25" x14ac:dyDescent="0.15">
      <c r="A436" s="19"/>
      <c r="B436" s="19"/>
      <c r="C436" s="19"/>
      <c r="D436" s="19"/>
      <c r="E436" s="19"/>
      <c r="F436" s="19"/>
      <c r="G436" s="19"/>
    </row>
    <row r="437" spans="1:7" ht="17.25" x14ac:dyDescent="0.15">
      <c r="A437" s="19"/>
      <c r="B437" s="19"/>
      <c r="C437" s="19"/>
      <c r="D437" s="19"/>
      <c r="E437" s="19"/>
      <c r="F437" s="19"/>
      <c r="G437" s="19"/>
    </row>
    <row r="438" spans="1:7" ht="17.25" x14ac:dyDescent="0.15">
      <c r="A438" s="19"/>
      <c r="B438" s="19"/>
      <c r="C438" s="19"/>
      <c r="D438" s="19"/>
      <c r="E438" s="19"/>
      <c r="F438" s="19"/>
      <c r="G438" s="19"/>
    </row>
    <row r="439" spans="1:7" ht="17.25" x14ac:dyDescent="0.15">
      <c r="A439" s="19"/>
      <c r="B439" s="19"/>
      <c r="C439" s="19"/>
      <c r="D439" s="19"/>
      <c r="E439" s="19"/>
      <c r="F439" s="19"/>
      <c r="G439" s="19"/>
    </row>
    <row r="440" spans="1:7" ht="17.25" x14ac:dyDescent="0.15">
      <c r="A440" s="19"/>
      <c r="B440" s="19"/>
      <c r="C440" s="19"/>
      <c r="D440" s="19"/>
      <c r="E440" s="19"/>
      <c r="F440" s="19"/>
      <c r="G440" s="19"/>
    </row>
    <row r="441" spans="1:7" ht="17.25" x14ac:dyDescent="0.15">
      <c r="A441" s="19"/>
      <c r="B441" s="19"/>
      <c r="C441" s="19"/>
      <c r="D441" s="19"/>
      <c r="E441" s="19"/>
      <c r="F441" s="19"/>
      <c r="G441" s="19"/>
    </row>
    <row r="442" spans="1:7" ht="17.25" x14ac:dyDescent="0.15">
      <c r="A442" s="19"/>
      <c r="B442" s="19"/>
      <c r="C442" s="19"/>
      <c r="D442" s="19"/>
      <c r="E442" s="19"/>
      <c r="F442" s="19"/>
      <c r="G442" s="19"/>
    </row>
    <row r="443" spans="1:7" ht="17.25" x14ac:dyDescent="0.15">
      <c r="A443" s="19"/>
      <c r="B443" s="19"/>
      <c r="C443" s="19"/>
      <c r="D443" s="19"/>
      <c r="E443" s="19"/>
      <c r="F443" s="19"/>
      <c r="G443" s="19"/>
    </row>
    <row r="444" spans="1:7" ht="17.25" x14ac:dyDescent="0.15">
      <c r="A444" s="19"/>
      <c r="B444" s="19"/>
      <c r="C444" s="19"/>
      <c r="D444" s="19"/>
      <c r="E444" s="19"/>
      <c r="F444" s="19"/>
      <c r="G444" s="19"/>
    </row>
    <row r="445" spans="1:7" ht="17.25" x14ac:dyDescent="0.15">
      <c r="A445" s="19"/>
      <c r="B445" s="19"/>
      <c r="C445" s="19"/>
      <c r="D445" s="19"/>
      <c r="E445" s="19"/>
      <c r="F445" s="19"/>
      <c r="G445" s="19"/>
    </row>
    <row r="446" spans="1:7" ht="17.25" x14ac:dyDescent="0.15">
      <c r="A446" s="19"/>
      <c r="B446" s="19"/>
      <c r="C446" s="19"/>
      <c r="D446" s="19"/>
      <c r="E446" s="19"/>
      <c r="F446" s="19"/>
      <c r="G446" s="19"/>
    </row>
    <row r="447" spans="1:7" ht="17.25" x14ac:dyDescent="0.15">
      <c r="A447" s="19"/>
      <c r="B447" s="19"/>
      <c r="C447" s="19"/>
      <c r="D447" s="19"/>
      <c r="E447" s="19"/>
      <c r="F447" s="19"/>
      <c r="G447" s="19"/>
    </row>
    <row r="448" spans="1:7" ht="17.25" x14ac:dyDescent="0.15">
      <c r="A448" s="19"/>
      <c r="B448" s="19"/>
      <c r="C448" s="19"/>
      <c r="D448" s="19"/>
      <c r="E448" s="19"/>
      <c r="F448" s="19"/>
      <c r="G448" s="19"/>
    </row>
    <row r="449" spans="1:7" ht="17.25" x14ac:dyDescent="0.15">
      <c r="A449" s="19"/>
      <c r="B449" s="19"/>
      <c r="C449" s="19"/>
      <c r="D449" s="19"/>
      <c r="E449" s="19"/>
      <c r="F449" s="19"/>
      <c r="G449" s="19"/>
    </row>
    <row r="450" spans="1:7" ht="17.25" x14ac:dyDescent="0.15">
      <c r="A450" s="19"/>
      <c r="B450" s="19"/>
      <c r="C450" s="19"/>
      <c r="D450" s="19"/>
      <c r="E450" s="19"/>
      <c r="F450" s="19"/>
      <c r="G450" s="19"/>
    </row>
    <row r="451" spans="1:7" ht="17.25" x14ac:dyDescent="0.15">
      <c r="A451" s="19"/>
      <c r="B451" s="19"/>
      <c r="C451" s="19"/>
      <c r="D451" s="19"/>
      <c r="E451" s="19"/>
      <c r="F451" s="19"/>
      <c r="G451" s="19"/>
    </row>
    <row r="452" spans="1:7" ht="17.25" x14ac:dyDescent="0.15">
      <c r="A452" s="19"/>
      <c r="B452" s="19"/>
      <c r="C452" s="19"/>
      <c r="D452" s="19"/>
      <c r="E452" s="19"/>
      <c r="F452" s="19"/>
      <c r="G452" s="19"/>
    </row>
    <row r="453" spans="1:7" ht="17.25" x14ac:dyDescent="0.15">
      <c r="A453" s="19"/>
      <c r="B453" s="19"/>
      <c r="C453" s="19"/>
      <c r="D453" s="19"/>
      <c r="E453" s="19"/>
      <c r="F453" s="19"/>
      <c r="G453" s="19"/>
    </row>
    <row r="454" spans="1:7" ht="17.25" x14ac:dyDescent="0.15">
      <c r="A454" s="19"/>
      <c r="B454" s="19"/>
      <c r="C454" s="19"/>
      <c r="D454" s="19"/>
      <c r="E454" s="19"/>
      <c r="F454" s="19"/>
      <c r="G454" s="19"/>
    </row>
    <row r="455" spans="1:7" ht="17.25" x14ac:dyDescent="0.15">
      <c r="A455" s="19"/>
      <c r="B455" s="19"/>
      <c r="C455" s="19"/>
      <c r="D455" s="19"/>
      <c r="E455" s="19"/>
      <c r="F455" s="19"/>
      <c r="G455" s="19"/>
    </row>
    <row r="456" spans="1:7" ht="17.25" x14ac:dyDescent="0.15">
      <c r="A456" s="19"/>
      <c r="B456" s="19"/>
      <c r="C456" s="19"/>
      <c r="D456" s="19"/>
      <c r="E456" s="19"/>
      <c r="F456" s="19"/>
      <c r="G456" s="19"/>
    </row>
    <row r="457" spans="1:7" ht="17.25" x14ac:dyDescent="0.15">
      <c r="A457" s="19"/>
      <c r="B457" s="19"/>
      <c r="C457" s="19"/>
      <c r="D457" s="19"/>
      <c r="E457" s="19"/>
      <c r="F457" s="19"/>
      <c r="G457" s="19"/>
    </row>
    <row r="458" spans="1:7" ht="17.25" x14ac:dyDescent="0.15">
      <c r="A458" s="19"/>
      <c r="B458" s="19"/>
      <c r="C458" s="19"/>
      <c r="D458" s="19"/>
      <c r="E458" s="19"/>
      <c r="F458" s="19"/>
      <c r="G458" s="19"/>
    </row>
    <row r="459" spans="1:7" ht="17.25" x14ac:dyDescent="0.15">
      <c r="A459" s="19"/>
      <c r="B459" s="19"/>
      <c r="C459" s="19"/>
      <c r="D459" s="19"/>
      <c r="E459" s="19"/>
      <c r="F459" s="19"/>
      <c r="G459" s="19"/>
    </row>
    <row r="460" spans="1:7" ht="17.25" x14ac:dyDescent="0.15">
      <c r="A460" s="19"/>
      <c r="B460" s="19"/>
      <c r="C460" s="19"/>
      <c r="D460" s="19"/>
      <c r="E460" s="19"/>
      <c r="F460" s="19"/>
      <c r="G460" s="19"/>
    </row>
    <row r="461" spans="1:7" ht="17.25" x14ac:dyDescent="0.15">
      <c r="A461" s="19"/>
      <c r="B461" s="19"/>
      <c r="C461" s="19"/>
      <c r="D461" s="19"/>
      <c r="E461" s="19"/>
      <c r="F461" s="19"/>
      <c r="G461" s="19"/>
    </row>
    <row r="462" spans="1:7" ht="17.25" x14ac:dyDescent="0.15">
      <c r="A462" s="19"/>
      <c r="B462" s="19"/>
      <c r="C462" s="19"/>
      <c r="D462" s="19"/>
      <c r="E462" s="19"/>
      <c r="F462" s="19"/>
      <c r="G462" s="19"/>
    </row>
    <row r="463" spans="1:7" ht="17.25" x14ac:dyDescent="0.15">
      <c r="A463" s="19"/>
      <c r="B463" s="19"/>
      <c r="C463" s="19"/>
      <c r="D463" s="19"/>
      <c r="E463" s="19"/>
      <c r="F463" s="19"/>
      <c r="G463" s="19"/>
    </row>
    <row r="464" spans="1:7" ht="17.25" x14ac:dyDescent="0.15">
      <c r="A464" s="19"/>
      <c r="B464" s="19"/>
      <c r="C464" s="19"/>
      <c r="D464" s="19"/>
      <c r="E464" s="19"/>
      <c r="F464" s="19"/>
      <c r="G464" s="19"/>
    </row>
    <row r="465" spans="1:7" ht="17.25" x14ac:dyDescent="0.15">
      <c r="A465" s="19"/>
      <c r="B465" s="19"/>
      <c r="C465" s="19"/>
      <c r="D465" s="19"/>
      <c r="E465" s="19"/>
      <c r="F465" s="19"/>
      <c r="G465" s="19"/>
    </row>
    <row r="466" spans="1:7" ht="17.25" x14ac:dyDescent="0.15">
      <c r="A466" s="19"/>
      <c r="B466" s="19"/>
      <c r="C466" s="19"/>
      <c r="D466" s="19"/>
      <c r="E466" s="19"/>
      <c r="F466" s="19"/>
      <c r="G466" s="19"/>
    </row>
    <row r="467" spans="1:7" ht="17.25" x14ac:dyDescent="0.15">
      <c r="A467" s="19"/>
      <c r="B467" s="19"/>
      <c r="C467" s="19"/>
      <c r="D467" s="19"/>
      <c r="E467" s="19"/>
      <c r="F467" s="19"/>
      <c r="G467" s="19"/>
    </row>
    <row r="468" spans="1:7" ht="17.25" x14ac:dyDescent="0.15">
      <c r="A468" s="19"/>
      <c r="B468" s="19"/>
      <c r="C468" s="19"/>
      <c r="D468" s="19"/>
      <c r="E468" s="19"/>
      <c r="F468" s="19"/>
      <c r="G468" s="19"/>
    </row>
    <row r="469" spans="1:7" ht="17.25" x14ac:dyDescent="0.15">
      <c r="A469" s="19"/>
      <c r="B469" s="19"/>
      <c r="C469" s="19"/>
      <c r="D469" s="19"/>
      <c r="E469" s="19"/>
      <c r="F469" s="19"/>
      <c r="G469" s="19"/>
    </row>
    <row r="470" spans="1:7" ht="17.25" x14ac:dyDescent="0.15">
      <c r="A470" s="19"/>
      <c r="B470" s="19"/>
      <c r="C470" s="19"/>
      <c r="D470" s="19"/>
      <c r="E470" s="19"/>
      <c r="F470" s="19"/>
      <c r="G470" s="19"/>
    </row>
    <row r="471" spans="1:7" ht="17.25" x14ac:dyDescent="0.15">
      <c r="A471" s="19"/>
      <c r="B471" s="19"/>
      <c r="C471" s="19"/>
      <c r="D471" s="19"/>
      <c r="E471" s="19"/>
      <c r="F471" s="19"/>
      <c r="G471" s="19"/>
    </row>
    <row r="472" spans="1:7" ht="17.25" x14ac:dyDescent="0.15">
      <c r="A472" s="19"/>
      <c r="B472" s="19"/>
      <c r="C472" s="19"/>
      <c r="D472" s="19"/>
      <c r="E472" s="19"/>
      <c r="F472" s="19"/>
      <c r="G472" s="19"/>
    </row>
    <row r="473" spans="1:7" ht="17.25" x14ac:dyDescent="0.15">
      <c r="A473" s="19"/>
      <c r="B473" s="19"/>
      <c r="C473" s="19"/>
      <c r="D473" s="19"/>
      <c r="E473" s="19"/>
      <c r="F473" s="19"/>
      <c r="G473" s="19"/>
    </row>
    <row r="474" spans="1:7" ht="17.25" x14ac:dyDescent="0.15">
      <c r="A474" s="19"/>
      <c r="B474" s="19"/>
      <c r="C474" s="19"/>
      <c r="D474" s="19"/>
      <c r="E474" s="19"/>
      <c r="F474" s="19"/>
      <c r="G474" s="19"/>
    </row>
    <row r="475" spans="1:7" ht="17.25" x14ac:dyDescent="0.15">
      <c r="A475" s="19"/>
      <c r="B475" s="19"/>
      <c r="C475" s="19"/>
      <c r="D475" s="19"/>
      <c r="E475" s="19"/>
      <c r="F475" s="19"/>
      <c r="G475" s="19"/>
    </row>
    <row r="476" spans="1:7" ht="17.25" x14ac:dyDescent="0.15">
      <c r="A476" s="19"/>
      <c r="B476" s="19"/>
      <c r="C476" s="19"/>
      <c r="D476" s="19"/>
      <c r="E476" s="19"/>
      <c r="F476" s="19"/>
      <c r="G476" s="19"/>
    </row>
    <row r="477" spans="1:7" ht="17.25" x14ac:dyDescent="0.15">
      <c r="A477" s="19"/>
      <c r="B477" s="19"/>
      <c r="C477" s="19"/>
      <c r="D477" s="19"/>
      <c r="E477" s="19"/>
      <c r="F477" s="19"/>
      <c r="G477" s="19"/>
    </row>
    <row r="478" spans="1:7" ht="17.25" x14ac:dyDescent="0.15">
      <c r="A478" s="19"/>
      <c r="B478" s="19"/>
      <c r="C478" s="19"/>
      <c r="D478" s="19"/>
      <c r="E478" s="19"/>
      <c r="F478" s="19"/>
      <c r="G478" s="19"/>
    </row>
    <row r="479" spans="1:7" ht="17.25" x14ac:dyDescent="0.15">
      <c r="A479" s="19"/>
      <c r="B479" s="19"/>
      <c r="C479" s="19"/>
      <c r="D479" s="19"/>
      <c r="E479" s="19"/>
      <c r="F479" s="19"/>
      <c r="G479" s="19"/>
    </row>
    <row r="480" spans="1:7" ht="17.25" x14ac:dyDescent="0.15">
      <c r="A480" s="19"/>
      <c r="B480" s="19"/>
      <c r="C480" s="19"/>
      <c r="D480" s="19"/>
      <c r="E480" s="19"/>
      <c r="F480" s="19"/>
      <c r="G480" s="19"/>
    </row>
    <row r="481" spans="1:7" ht="17.25" x14ac:dyDescent="0.15">
      <c r="A481" s="19"/>
      <c r="B481" s="19"/>
      <c r="C481" s="19"/>
      <c r="D481" s="19"/>
      <c r="E481" s="19"/>
      <c r="F481" s="19"/>
      <c r="G481" s="19"/>
    </row>
    <row r="482" spans="1:7" ht="17.25" x14ac:dyDescent="0.15">
      <c r="A482" s="19"/>
      <c r="B482" s="19"/>
      <c r="C482" s="19"/>
      <c r="D482" s="19"/>
      <c r="E482" s="19"/>
      <c r="F482" s="19"/>
      <c r="G482" s="19"/>
    </row>
    <row r="483" spans="1:7" ht="17.25" x14ac:dyDescent="0.15">
      <c r="A483" s="19"/>
      <c r="B483" s="19"/>
      <c r="C483" s="19"/>
      <c r="D483" s="19"/>
      <c r="E483" s="19"/>
      <c r="F483" s="19"/>
      <c r="G483" s="19"/>
    </row>
    <row r="484" spans="1:7" ht="17.25" x14ac:dyDescent="0.15">
      <c r="A484" s="19"/>
      <c r="B484" s="19"/>
      <c r="C484" s="19"/>
      <c r="D484" s="19"/>
      <c r="E484" s="19"/>
      <c r="F484" s="19"/>
      <c r="G484" s="19"/>
    </row>
    <row r="485" spans="1:7" ht="17.25" x14ac:dyDescent="0.15">
      <c r="A485" s="19"/>
      <c r="B485" s="19"/>
      <c r="C485" s="19"/>
      <c r="D485" s="19"/>
      <c r="E485" s="19"/>
      <c r="F485" s="19"/>
      <c r="G485" s="19"/>
    </row>
    <row r="486" spans="1:7" ht="17.25" x14ac:dyDescent="0.15">
      <c r="A486" s="19"/>
      <c r="B486" s="19"/>
      <c r="C486" s="19"/>
      <c r="D486" s="19"/>
      <c r="E486" s="19"/>
      <c r="F486" s="19"/>
      <c r="G486" s="19"/>
    </row>
    <row r="487" spans="1:7" ht="17.25" x14ac:dyDescent="0.15">
      <c r="A487" s="19"/>
      <c r="B487" s="19"/>
      <c r="C487" s="19"/>
      <c r="D487" s="19"/>
      <c r="E487" s="19"/>
      <c r="F487" s="19"/>
      <c r="G487" s="19"/>
    </row>
    <row r="488" spans="1:7" ht="17.25" x14ac:dyDescent="0.15">
      <c r="A488" s="19"/>
      <c r="B488" s="19"/>
      <c r="C488" s="19"/>
      <c r="D488" s="19"/>
      <c r="E488" s="19"/>
      <c r="F488" s="19"/>
      <c r="G488" s="19"/>
    </row>
    <row r="489" spans="1:7" ht="17.25" x14ac:dyDescent="0.15">
      <c r="A489" s="19"/>
      <c r="B489" s="19"/>
      <c r="C489" s="19"/>
      <c r="D489" s="19"/>
      <c r="E489" s="19"/>
      <c r="F489" s="19"/>
      <c r="G489" s="19"/>
    </row>
    <row r="490" spans="1:7" ht="17.25" x14ac:dyDescent="0.15">
      <c r="A490" s="19"/>
      <c r="B490" s="19"/>
      <c r="C490" s="19"/>
      <c r="D490" s="19"/>
      <c r="E490" s="19"/>
      <c r="F490" s="19"/>
      <c r="G490" s="19"/>
    </row>
    <row r="491" spans="1:7" ht="17.25" x14ac:dyDescent="0.15">
      <c r="A491" s="19"/>
      <c r="B491" s="19"/>
      <c r="C491" s="19"/>
      <c r="D491" s="19"/>
      <c r="E491" s="19"/>
      <c r="F491" s="19"/>
      <c r="G491" s="19"/>
    </row>
    <row r="492" spans="1:7" ht="17.25" x14ac:dyDescent="0.15">
      <c r="A492" s="19"/>
      <c r="B492" s="19"/>
      <c r="C492" s="19"/>
      <c r="D492" s="19"/>
      <c r="E492" s="19"/>
      <c r="F492" s="19"/>
      <c r="G492" s="19"/>
    </row>
    <row r="493" spans="1:7" ht="17.25" x14ac:dyDescent="0.15">
      <c r="A493" s="19"/>
      <c r="B493" s="19"/>
      <c r="C493" s="19"/>
      <c r="D493" s="19"/>
      <c r="E493" s="19"/>
      <c r="F493" s="19"/>
      <c r="G493" s="19"/>
    </row>
    <row r="494" spans="1:7" ht="17.25" x14ac:dyDescent="0.15">
      <c r="A494" s="19"/>
      <c r="B494" s="19"/>
      <c r="C494" s="19"/>
      <c r="D494" s="19"/>
      <c r="E494" s="19"/>
      <c r="F494" s="19"/>
      <c r="G494" s="19"/>
    </row>
    <row r="495" spans="1:7" ht="17.25" x14ac:dyDescent="0.15">
      <c r="A495" s="19"/>
      <c r="B495" s="19"/>
      <c r="C495" s="19"/>
      <c r="D495" s="19"/>
      <c r="E495" s="19"/>
      <c r="F495" s="19"/>
      <c r="G495" s="19"/>
    </row>
    <row r="496" spans="1:7" ht="17.25" x14ac:dyDescent="0.15">
      <c r="A496" s="19"/>
      <c r="B496" s="19"/>
      <c r="C496" s="19"/>
      <c r="D496" s="19"/>
      <c r="E496" s="19"/>
      <c r="F496" s="19"/>
      <c r="G496" s="19"/>
    </row>
    <row r="497" spans="1:7" ht="17.25" x14ac:dyDescent="0.15">
      <c r="A497" s="19"/>
      <c r="B497" s="19"/>
      <c r="C497" s="19"/>
      <c r="D497" s="19"/>
      <c r="E497" s="19"/>
      <c r="F497" s="19"/>
      <c r="G497" s="19"/>
    </row>
    <row r="498" spans="1:7" ht="17.25" x14ac:dyDescent="0.15">
      <c r="A498" s="19"/>
      <c r="B498" s="19"/>
      <c r="C498" s="19"/>
      <c r="D498" s="19"/>
      <c r="E498" s="19"/>
      <c r="F498" s="19"/>
      <c r="G498" s="19"/>
    </row>
    <row r="499" spans="1:7" ht="17.25" x14ac:dyDescent="0.15">
      <c r="A499" s="19"/>
      <c r="B499" s="19"/>
      <c r="C499" s="19"/>
      <c r="D499" s="19"/>
      <c r="E499" s="19"/>
      <c r="F499" s="19"/>
      <c r="G499" s="19"/>
    </row>
    <row r="500" spans="1:7" ht="17.25" x14ac:dyDescent="0.15">
      <c r="A500" s="19"/>
      <c r="B500" s="19"/>
      <c r="C500" s="19"/>
      <c r="D500" s="19"/>
      <c r="E500" s="19"/>
      <c r="F500" s="19"/>
      <c r="G500" s="19"/>
    </row>
    <row r="501" spans="1:7" ht="17.25" x14ac:dyDescent="0.15">
      <c r="A501" s="19"/>
      <c r="B501" s="19"/>
      <c r="C501" s="19"/>
      <c r="D501" s="19"/>
      <c r="E501" s="19"/>
      <c r="F501" s="19"/>
      <c r="G501" s="19"/>
    </row>
    <row r="502" spans="1:7" ht="17.25" x14ac:dyDescent="0.15">
      <c r="A502" s="19"/>
      <c r="B502" s="19"/>
      <c r="C502" s="19"/>
      <c r="D502" s="19"/>
      <c r="E502" s="19"/>
      <c r="F502" s="19"/>
      <c r="G502" s="19"/>
    </row>
    <row r="503" spans="1:7" ht="17.25" x14ac:dyDescent="0.15">
      <c r="A503" s="19"/>
      <c r="B503" s="19"/>
      <c r="C503" s="19"/>
      <c r="D503" s="19"/>
      <c r="E503" s="19"/>
      <c r="F503" s="19"/>
      <c r="G503" s="19"/>
    </row>
    <row r="504" spans="1:7" ht="17.25" x14ac:dyDescent="0.15">
      <c r="A504" s="19"/>
      <c r="B504" s="19"/>
      <c r="C504" s="19"/>
      <c r="D504" s="19"/>
      <c r="E504" s="19"/>
      <c r="F504" s="19"/>
      <c r="G504" s="19"/>
    </row>
    <row r="505" spans="1:7" ht="17.25" x14ac:dyDescent="0.15">
      <c r="A505" s="19"/>
      <c r="B505" s="19"/>
      <c r="C505" s="19"/>
      <c r="D505" s="19"/>
      <c r="E505" s="19"/>
      <c r="F505" s="19"/>
      <c r="G505" s="19"/>
    </row>
    <row r="506" spans="1:7" ht="17.25" x14ac:dyDescent="0.15">
      <c r="A506" s="19"/>
      <c r="B506" s="19"/>
      <c r="C506" s="19"/>
      <c r="D506" s="19"/>
      <c r="E506" s="19"/>
      <c r="F506" s="19"/>
      <c r="G506" s="19"/>
    </row>
    <row r="507" spans="1:7" ht="17.25" x14ac:dyDescent="0.15">
      <c r="A507" s="19"/>
      <c r="B507" s="19"/>
      <c r="C507" s="19"/>
      <c r="D507" s="19"/>
      <c r="E507" s="19"/>
      <c r="F507" s="19"/>
      <c r="G507" s="19"/>
    </row>
    <row r="508" spans="1:7" ht="17.25" x14ac:dyDescent="0.15">
      <c r="A508" s="19"/>
      <c r="B508" s="19"/>
      <c r="C508" s="19"/>
      <c r="D508" s="19"/>
      <c r="E508" s="19"/>
      <c r="F508" s="19"/>
      <c r="G508" s="19"/>
    </row>
    <row r="509" spans="1:7" ht="17.25" x14ac:dyDescent="0.15">
      <c r="A509" s="19"/>
      <c r="B509" s="19"/>
      <c r="C509" s="19"/>
      <c r="D509" s="19"/>
      <c r="E509" s="19"/>
      <c r="F509" s="19"/>
      <c r="G509" s="19"/>
    </row>
    <row r="510" spans="1:7" ht="17.25" x14ac:dyDescent="0.15">
      <c r="A510" s="19"/>
      <c r="B510" s="19"/>
      <c r="C510" s="19"/>
      <c r="D510" s="19"/>
      <c r="E510" s="19"/>
      <c r="F510" s="19"/>
      <c r="G510" s="19"/>
    </row>
    <row r="511" spans="1:7" ht="17.25" x14ac:dyDescent="0.15">
      <c r="A511" s="19"/>
      <c r="B511" s="19"/>
      <c r="C511" s="19"/>
      <c r="D511" s="19"/>
      <c r="E511" s="19"/>
      <c r="F511" s="19"/>
      <c r="G511" s="19"/>
    </row>
    <row r="512" spans="1:7" ht="17.25" x14ac:dyDescent="0.15">
      <c r="A512" s="19"/>
      <c r="B512" s="19"/>
      <c r="C512" s="19"/>
      <c r="D512" s="19"/>
      <c r="E512" s="19"/>
      <c r="F512" s="19"/>
      <c r="G512" s="19"/>
    </row>
    <row r="513" spans="1:7" ht="17.25" x14ac:dyDescent="0.15">
      <c r="A513" s="19"/>
      <c r="B513" s="19"/>
      <c r="C513" s="19"/>
      <c r="D513" s="19"/>
      <c r="E513" s="19"/>
      <c r="F513" s="19"/>
      <c r="G513" s="19"/>
    </row>
    <row r="514" spans="1:7" ht="17.25" x14ac:dyDescent="0.15">
      <c r="A514" s="19"/>
      <c r="B514" s="19"/>
      <c r="C514" s="19"/>
      <c r="D514" s="19"/>
      <c r="E514" s="19"/>
      <c r="F514" s="19"/>
      <c r="G514" s="19"/>
    </row>
    <row r="515" spans="1:7" ht="17.25" x14ac:dyDescent="0.15">
      <c r="A515" s="19"/>
      <c r="B515" s="19"/>
      <c r="C515" s="19"/>
      <c r="D515" s="19"/>
      <c r="E515" s="19"/>
      <c r="F515" s="19"/>
      <c r="G515" s="19"/>
    </row>
    <row r="516" spans="1:7" ht="17.25" x14ac:dyDescent="0.15">
      <c r="A516" s="19"/>
      <c r="B516" s="19"/>
      <c r="C516" s="19"/>
      <c r="D516" s="19"/>
      <c r="E516" s="19"/>
      <c r="F516" s="19"/>
      <c r="G516" s="19"/>
    </row>
    <row r="517" spans="1:7" ht="17.25" x14ac:dyDescent="0.15">
      <c r="A517" s="19"/>
      <c r="B517" s="19"/>
      <c r="C517" s="19"/>
      <c r="D517" s="19"/>
      <c r="E517" s="19"/>
      <c r="F517" s="19"/>
      <c r="G517" s="19"/>
    </row>
    <row r="518" spans="1:7" ht="17.25" x14ac:dyDescent="0.15">
      <c r="A518" s="19"/>
      <c r="B518" s="19"/>
      <c r="C518" s="19"/>
      <c r="D518" s="19"/>
      <c r="E518" s="19"/>
      <c r="F518" s="19"/>
      <c r="G518" s="19"/>
    </row>
    <row r="519" spans="1:7" ht="17.25" x14ac:dyDescent="0.15">
      <c r="A519" s="19"/>
      <c r="B519" s="19"/>
      <c r="C519" s="19"/>
      <c r="D519" s="19"/>
      <c r="E519" s="19"/>
      <c r="F519" s="19"/>
      <c r="G519" s="19"/>
    </row>
    <row r="520" spans="1:7" ht="17.25" x14ac:dyDescent="0.15">
      <c r="A520" s="19"/>
      <c r="B520" s="19"/>
      <c r="C520" s="19"/>
      <c r="D520" s="19"/>
      <c r="E520" s="19"/>
      <c r="F520" s="19"/>
      <c r="G520" s="19"/>
    </row>
    <row r="521" spans="1:7" ht="17.25" x14ac:dyDescent="0.15">
      <c r="A521" s="19"/>
      <c r="B521" s="19"/>
      <c r="C521" s="19"/>
      <c r="D521" s="19"/>
      <c r="E521" s="19"/>
      <c r="F521" s="19"/>
      <c r="G521" s="19"/>
    </row>
    <row r="522" spans="1:7" ht="17.25" x14ac:dyDescent="0.15">
      <c r="A522" s="19"/>
      <c r="B522" s="19"/>
      <c r="C522" s="19"/>
      <c r="D522" s="19"/>
      <c r="E522" s="19"/>
      <c r="F522" s="19"/>
      <c r="G522" s="19"/>
    </row>
    <row r="523" spans="1:7" ht="17.25" x14ac:dyDescent="0.15">
      <c r="A523" s="19"/>
      <c r="B523" s="19"/>
      <c r="C523" s="19"/>
      <c r="D523" s="19"/>
      <c r="E523" s="19"/>
      <c r="F523" s="19"/>
      <c r="G523" s="19"/>
    </row>
    <row r="524" spans="1:7" ht="17.25" x14ac:dyDescent="0.15">
      <c r="A524" s="19"/>
      <c r="B524" s="19"/>
      <c r="C524" s="19"/>
      <c r="D524" s="19"/>
      <c r="E524" s="19"/>
      <c r="F524" s="19"/>
      <c r="G524" s="19"/>
    </row>
    <row r="525" spans="1:7" ht="17.25" x14ac:dyDescent="0.15">
      <c r="A525" s="19"/>
      <c r="B525" s="19"/>
      <c r="C525" s="19"/>
      <c r="D525" s="19"/>
      <c r="E525" s="19"/>
      <c r="F525" s="19"/>
      <c r="G525" s="19"/>
    </row>
    <row r="526" spans="1:7" ht="17.25" x14ac:dyDescent="0.15">
      <c r="A526" s="19"/>
      <c r="B526" s="19"/>
      <c r="C526" s="19"/>
      <c r="D526" s="19"/>
      <c r="E526" s="19"/>
      <c r="F526" s="19"/>
      <c r="G526" s="19"/>
    </row>
    <row r="527" spans="1:7" ht="17.25" x14ac:dyDescent="0.15">
      <c r="A527" s="19"/>
      <c r="B527" s="19"/>
      <c r="C527" s="19"/>
      <c r="D527" s="19"/>
      <c r="E527" s="19"/>
      <c r="F527" s="19"/>
      <c r="G527" s="19"/>
    </row>
    <row r="528" spans="1:7" ht="17.25" x14ac:dyDescent="0.15">
      <c r="A528" s="19"/>
      <c r="B528" s="19"/>
      <c r="C528" s="19"/>
      <c r="D528" s="19"/>
      <c r="E528" s="19"/>
      <c r="F528" s="19"/>
      <c r="G528" s="19"/>
    </row>
    <row r="529" spans="1:7" ht="17.25" x14ac:dyDescent="0.15">
      <c r="A529" s="19"/>
      <c r="B529" s="19"/>
      <c r="C529" s="19"/>
      <c r="D529" s="19"/>
      <c r="E529" s="19"/>
      <c r="F529" s="19"/>
      <c r="G529" s="19"/>
    </row>
    <row r="530" spans="1:7" ht="17.25" x14ac:dyDescent="0.15">
      <c r="A530" s="19"/>
      <c r="B530" s="19"/>
      <c r="C530" s="19"/>
      <c r="D530" s="19"/>
      <c r="E530" s="19"/>
      <c r="F530" s="19"/>
      <c r="G530" s="19"/>
    </row>
    <row r="531" spans="1:7" ht="17.25" x14ac:dyDescent="0.15">
      <c r="A531" s="19"/>
      <c r="B531" s="19"/>
      <c r="C531" s="19"/>
      <c r="D531" s="19"/>
      <c r="E531" s="19"/>
      <c r="F531" s="19"/>
      <c r="G531" s="19"/>
    </row>
    <row r="532" spans="1:7" ht="17.25" x14ac:dyDescent="0.15">
      <c r="A532" s="19"/>
      <c r="B532" s="19"/>
      <c r="C532" s="19"/>
      <c r="D532" s="19"/>
      <c r="E532" s="19"/>
      <c r="F532" s="19"/>
      <c r="G532" s="19"/>
    </row>
    <row r="533" spans="1:7" ht="17.25" x14ac:dyDescent="0.15">
      <c r="A533" s="19"/>
      <c r="B533" s="19"/>
      <c r="C533" s="19"/>
      <c r="D533" s="19"/>
      <c r="E533" s="19"/>
      <c r="F533" s="19"/>
      <c r="G533" s="19"/>
    </row>
    <row r="534" spans="1:7" ht="17.25" x14ac:dyDescent="0.15">
      <c r="A534" s="19"/>
      <c r="B534" s="19"/>
      <c r="C534" s="19"/>
      <c r="D534" s="19"/>
      <c r="E534" s="19"/>
      <c r="F534" s="19"/>
      <c r="G534" s="19"/>
    </row>
    <row r="535" spans="1:7" ht="17.25" x14ac:dyDescent="0.15">
      <c r="A535" s="19"/>
      <c r="B535" s="19"/>
      <c r="C535" s="19"/>
      <c r="D535" s="19"/>
      <c r="E535" s="19"/>
      <c r="F535" s="19"/>
      <c r="G535" s="19"/>
    </row>
    <row r="536" spans="1:7" ht="17.25" x14ac:dyDescent="0.15">
      <c r="A536" s="19"/>
      <c r="B536" s="19"/>
      <c r="C536" s="19"/>
      <c r="D536" s="19"/>
      <c r="E536" s="19"/>
      <c r="F536" s="19"/>
      <c r="G536" s="19"/>
    </row>
    <row r="537" spans="1:7" ht="17.25" x14ac:dyDescent="0.15">
      <c r="A537" s="19"/>
      <c r="B537" s="19"/>
      <c r="C537" s="19"/>
      <c r="D537" s="19"/>
      <c r="E537" s="19"/>
      <c r="F537" s="19"/>
      <c r="G537" s="19"/>
    </row>
    <row r="538" spans="1:7" ht="17.25" x14ac:dyDescent="0.15">
      <c r="A538" s="19"/>
      <c r="B538" s="19"/>
      <c r="C538" s="19"/>
      <c r="D538" s="19"/>
      <c r="E538" s="19"/>
      <c r="F538" s="19"/>
      <c r="G538" s="19"/>
    </row>
    <row r="539" spans="1:7" ht="17.25" x14ac:dyDescent="0.15">
      <c r="A539" s="19"/>
      <c r="B539" s="19"/>
      <c r="C539" s="19"/>
      <c r="D539" s="19"/>
      <c r="E539" s="19"/>
      <c r="F539" s="19"/>
      <c r="G539" s="19"/>
    </row>
    <row r="540" spans="1:7" ht="17.25" x14ac:dyDescent="0.15">
      <c r="A540" s="19"/>
      <c r="B540" s="19"/>
      <c r="C540" s="19"/>
      <c r="D540" s="19"/>
      <c r="E540" s="19"/>
      <c r="F540" s="19"/>
      <c r="G540" s="19"/>
    </row>
    <row r="541" spans="1:7" ht="17.25" x14ac:dyDescent="0.15">
      <c r="A541" s="19"/>
      <c r="B541" s="19"/>
      <c r="C541" s="19"/>
      <c r="D541" s="19"/>
      <c r="E541" s="19"/>
      <c r="F541" s="19"/>
      <c r="G541" s="19"/>
    </row>
    <row r="542" spans="1:7" ht="17.25" x14ac:dyDescent="0.15">
      <c r="A542" s="19"/>
      <c r="B542" s="19"/>
      <c r="C542" s="19"/>
      <c r="D542" s="19"/>
      <c r="E542" s="19"/>
      <c r="F542" s="19"/>
      <c r="G542" s="19"/>
    </row>
    <row r="543" spans="1:7" ht="17.25" x14ac:dyDescent="0.15">
      <c r="A543" s="19"/>
      <c r="B543" s="19"/>
      <c r="C543" s="19"/>
      <c r="D543" s="19"/>
      <c r="E543" s="19"/>
      <c r="F543" s="19"/>
      <c r="G543" s="19"/>
    </row>
    <row r="544" spans="1:7" ht="17.25" x14ac:dyDescent="0.15">
      <c r="A544" s="19"/>
      <c r="B544" s="19"/>
      <c r="C544" s="19"/>
      <c r="D544" s="19"/>
      <c r="E544" s="19"/>
      <c r="F544" s="19"/>
      <c r="G544" s="19"/>
    </row>
    <row r="545" spans="1:7" ht="17.25" x14ac:dyDescent="0.15">
      <c r="A545" s="19"/>
      <c r="B545" s="19"/>
      <c r="C545" s="19"/>
      <c r="D545" s="19"/>
      <c r="E545" s="19"/>
      <c r="F545" s="19"/>
      <c r="G545" s="19"/>
    </row>
    <row r="546" spans="1:7" ht="17.25" x14ac:dyDescent="0.15">
      <c r="A546" s="19"/>
      <c r="B546" s="19"/>
      <c r="C546" s="19"/>
      <c r="D546" s="19"/>
      <c r="E546" s="19"/>
      <c r="F546" s="19"/>
      <c r="G546" s="19"/>
    </row>
    <row r="547" spans="1:7" ht="17.25" x14ac:dyDescent="0.15">
      <c r="A547" s="19"/>
      <c r="B547" s="19"/>
      <c r="C547" s="19"/>
      <c r="D547" s="19"/>
      <c r="E547" s="19"/>
      <c r="F547" s="19"/>
      <c r="G547" s="19"/>
    </row>
    <row r="548" spans="1:7" ht="17.25" x14ac:dyDescent="0.15">
      <c r="A548" s="19"/>
      <c r="B548" s="19"/>
      <c r="C548" s="19"/>
      <c r="D548" s="19"/>
      <c r="E548" s="19"/>
      <c r="F548" s="19"/>
      <c r="G548" s="19"/>
    </row>
    <row r="549" spans="1:7" ht="17.25" x14ac:dyDescent="0.15">
      <c r="A549" s="19"/>
      <c r="B549" s="19"/>
      <c r="C549" s="19"/>
      <c r="D549" s="19"/>
      <c r="E549" s="19"/>
      <c r="F549" s="19"/>
      <c r="G549" s="19"/>
    </row>
    <row r="550" spans="1:7" ht="17.25" x14ac:dyDescent="0.15">
      <c r="A550" s="19"/>
      <c r="B550" s="19"/>
      <c r="C550" s="19"/>
      <c r="D550" s="19"/>
      <c r="E550" s="19"/>
      <c r="F550" s="19"/>
      <c r="G550" s="19"/>
    </row>
    <row r="551" spans="1:7" ht="17.25" x14ac:dyDescent="0.15">
      <c r="A551" s="19"/>
      <c r="B551" s="19"/>
      <c r="C551" s="19"/>
      <c r="D551" s="19"/>
      <c r="E551" s="19"/>
      <c r="F551" s="19"/>
      <c r="G551" s="19"/>
    </row>
    <row r="552" spans="1:7" ht="17.25" x14ac:dyDescent="0.15">
      <c r="A552" s="19"/>
      <c r="B552" s="19"/>
      <c r="C552" s="19"/>
      <c r="D552" s="19"/>
      <c r="E552" s="19"/>
      <c r="F552" s="19"/>
      <c r="G552" s="19"/>
    </row>
    <row r="553" spans="1:7" ht="17.25" x14ac:dyDescent="0.15">
      <c r="A553" s="19"/>
      <c r="B553" s="19"/>
      <c r="C553" s="19"/>
      <c r="D553" s="19"/>
      <c r="E553" s="19"/>
      <c r="F553" s="19"/>
      <c r="G553" s="19"/>
    </row>
    <row r="554" spans="1:7" ht="17.25" x14ac:dyDescent="0.15">
      <c r="A554" s="19"/>
      <c r="B554" s="19"/>
      <c r="C554" s="19"/>
      <c r="D554" s="19"/>
      <c r="E554" s="19"/>
      <c r="F554" s="19"/>
      <c r="G554" s="19"/>
    </row>
    <row r="555" spans="1:7" ht="17.25" x14ac:dyDescent="0.15">
      <c r="A555" s="19"/>
      <c r="B555" s="19"/>
      <c r="C555" s="19"/>
      <c r="D555" s="19"/>
      <c r="E555" s="19"/>
      <c r="F555" s="19"/>
      <c r="G555" s="19"/>
    </row>
    <row r="556" spans="1:7" ht="17.25" x14ac:dyDescent="0.15">
      <c r="A556" s="19"/>
      <c r="B556" s="19"/>
      <c r="C556" s="19"/>
      <c r="D556" s="19"/>
      <c r="E556" s="19"/>
      <c r="F556" s="19"/>
      <c r="G556" s="19"/>
    </row>
    <row r="557" spans="1:7" ht="17.25" x14ac:dyDescent="0.15">
      <c r="A557" s="19"/>
      <c r="B557" s="19"/>
      <c r="C557" s="19"/>
      <c r="D557" s="19"/>
      <c r="E557" s="19"/>
      <c r="F557" s="19"/>
      <c r="G557" s="19"/>
    </row>
    <row r="558" spans="1:7" ht="17.25" x14ac:dyDescent="0.15">
      <c r="A558" s="19"/>
      <c r="B558" s="19"/>
      <c r="C558" s="19"/>
      <c r="D558" s="19"/>
      <c r="E558" s="19"/>
      <c r="F558" s="19"/>
      <c r="G558" s="19"/>
    </row>
    <row r="559" spans="1:7" ht="17.25" x14ac:dyDescent="0.15">
      <c r="A559" s="19"/>
      <c r="B559" s="19"/>
      <c r="C559" s="19"/>
      <c r="D559" s="19"/>
      <c r="E559" s="19"/>
      <c r="F559" s="19"/>
      <c r="G559" s="19"/>
    </row>
    <row r="560" spans="1:7" ht="17.25" x14ac:dyDescent="0.15">
      <c r="A560" s="19"/>
      <c r="B560" s="19"/>
      <c r="C560" s="19"/>
      <c r="D560" s="19"/>
      <c r="E560" s="19"/>
      <c r="F560" s="19"/>
      <c r="G560" s="19"/>
    </row>
    <row r="561" spans="1:7" ht="17.25" x14ac:dyDescent="0.15">
      <c r="A561" s="19"/>
      <c r="B561" s="19"/>
      <c r="C561" s="19"/>
      <c r="D561" s="19"/>
      <c r="E561" s="19"/>
      <c r="F561" s="19"/>
      <c r="G561" s="19"/>
    </row>
    <row r="562" spans="1:7" ht="17.25" x14ac:dyDescent="0.15">
      <c r="A562" s="19"/>
      <c r="B562" s="19"/>
      <c r="C562" s="19"/>
      <c r="D562" s="19"/>
      <c r="E562" s="19"/>
      <c r="F562" s="19"/>
      <c r="G562" s="19"/>
    </row>
    <row r="563" spans="1:7" ht="17.25" x14ac:dyDescent="0.15">
      <c r="A563" s="19"/>
      <c r="B563" s="19"/>
      <c r="C563" s="19"/>
      <c r="D563" s="19"/>
      <c r="E563" s="19"/>
      <c r="F563" s="19"/>
      <c r="G563" s="19"/>
    </row>
    <row r="564" spans="1:7" ht="17.25" x14ac:dyDescent="0.15">
      <c r="A564" s="19"/>
      <c r="B564" s="19"/>
      <c r="C564" s="19"/>
      <c r="D564" s="19"/>
      <c r="E564" s="19"/>
      <c r="F564" s="19"/>
      <c r="G564" s="19"/>
    </row>
    <row r="565" spans="1:7" ht="17.25" x14ac:dyDescent="0.15">
      <c r="A565" s="19"/>
      <c r="B565" s="19"/>
      <c r="C565" s="19"/>
      <c r="D565" s="19"/>
      <c r="E565" s="19"/>
      <c r="F565" s="19"/>
      <c r="G565" s="19"/>
    </row>
    <row r="566" spans="1:7" ht="17.25" x14ac:dyDescent="0.15">
      <c r="A566" s="19"/>
      <c r="B566" s="19"/>
      <c r="C566" s="19"/>
      <c r="D566" s="19"/>
      <c r="E566" s="19"/>
      <c r="F566" s="19"/>
      <c r="G566" s="19"/>
    </row>
    <row r="567" spans="1:7" ht="17.25" x14ac:dyDescent="0.15">
      <c r="A567" s="19"/>
      <c r="B567" s="19"/>
      <c r="C567" s="19"/>
      <c r="D567" s="19"/>
      <c r="E567" s="19"/>
      <c r="F567" s="19"/>
      <c r="G567" s="19"/>
    </row>
    <row r="568" spans="1:7" ht="17.25" x14ac:dyDescent="0.15">
      <c r="A568" s="19"/>
      <c r="B568" s="19"/>
      <c r="C568" s="19"/>
      <c r="D568" s="19"/>
      <c r="E568" s="19"/>
      <c r="F568" s="19"/>
      <c r="G568" s="19"/>
    </row>
    <row r="569" spans="1:7" ht="17.25" x14ac:dyDescent="0.15">
      <c r="A569" s="19"/>
      <c r="B569" s="19"/>
      <c r="C569" s="19"/>
      <c r="D569" s="19"/>
      <c r="E569" s="19"/>
      <c r="F569" s="19"/>
      <c r="G569" s="19"/>
    </row>
    <row r="570" spans="1:7" ht="17.25" x14ac:dyDescent="0.15">
      <c r="A570" s="19"/>
      <c r="B570" s="19"/>
      <c r="C570" s="19"/>
      <c r="D570" s="19"/>
      <c r="E570" s="19"/>
      <c r="F570" s="19"/>
      <c r="G570" s="19"/>
    </row>
    <row r="571" spans="1:7" ht="17.25" x14ac:dyDescent="0.15">
      <c r="A571" s="19"/>
      <c r="B571" s="19"/>
      <c r="C571" s="19"/>
      <c r="D571" s="19"/>
      <c r="E571" s="19"/>
      <c r="F571" s="19"/>
      <c r="G571" s="19"/>
    </row>
    <row r="572" spans="1:7" ht="17.25" x14ac:dyDescent="0.15">
      <c r="A572" s="19"/>
      <c r="B572" s="19"/>
      <c r="C572" s="19"/>
      <c r="D572" s="19"/>
      <c r="E572" s="19"/>
      <c r="F572" s="19"/>
      <c r="G572" s="19"/>
    </row>
    <row r="573" spans="1:7" ht="17.25" x14ac:dyDescent="0.15">
      <c r="A573" s="19"/>
      <c r="B573" s="19"/>
      <c r="C573" s="19"/>
      <c r="D573" s="19"/>
      <c r="E573" s="19"/>
      <c r="F573" s="19"/>
      <c r="G573" s="19"/>
    </row>
    <row r="574" spans="1:7" ht="17.25" x14ac:dyDescent="0.15">
      <c r="A574" s="19"/>
      <c r="B574" s="19"/>
      <c r="C574" s="19"/>
      <c r="D574" s="19"/>
      <c r="E574" s="19"/>
      <c r="F574" s="19"/>
      <c r="G574" s="19"/>
    </row>
    <row r="575" spans="1:7" ht="17.25" x14ac:dyDescent="0.15">
      <c r="A575" s="19"/>
      <c r="B575" s="19"/>
      <c r="C575" s="19"/>
      <c r="D575" s="19"/>
      <c r="E575" s="19"/>
      <c r="F575" s="19"/>
      <c r="G575" s="19"/>
    </row>
    <row r="576" spans="1:7" ht="17.25" x14ac:dyDescent="0.15">
      <c r="A576" s="19"/>
      <c r="B576" s="19"/>
      <c r="C576" s="19"/>
      <c r="D576" s="19"/>
      <c r="E576" s="19"/>
      <c r="F576" s="19"/>
      <c r="G576" s="19"/>
    </row>
    <row r="577" spans="1:7" ht="17.25" x14ac:dyDescent="0.15">
      <c r="A577" s="19"/>
      <c r="B577" s="19"/>
      <c r="C577" s="19"/>
      <c r="D577" s="19"/>
      <c r="E577" s="19"/>
      <c r="F577" s="19"/>
      <c r="G577" s="19"/>
    </row>
    <row r="578" spans="1:7" ht="17.25" x14ac:dyDescent="0.15">
      <c r="A578" s="19"/>
      <c r="B578" s="19"/>
      <c r="C578" s="19"/>
      <c r="D578" s="19"/>
      <c r="E578" s="19"/>
      <c r="F578" s="19"/>
      <c r="G578" s="19"/>
    </row>
    <row r="579" spans="1:7" ht="17.25" x14ac:dyDescent="0.15">
      <c r="A579" s="19"/>
      <c r="B579" s="19"/>
      <c r="C579" s="19"/>
      <c r="D579" s="19"/>
      <c r="E579" s="19"/>
      <c r="F579" s="19"/>
      <c r="G579" s="19"/>
    </row>
    <row r="580" spans="1:7" ht="17.25" x14ac:dyDescent="0.15">
      <c r="A580" s="19"/>
      <c r="B580" s="19"/>
      <c r="C580" s="19"/>
      <c r="D580" s="19"/>
      <c r="E580" s="19"/>
      <c r="F580" s="19"/>
      <c r="G580" s="19"/>
    </row>
    <row r="581" spans="1:7" ht="17.25" x14ac:dyDescent="0.15">
      <c r="A581" s="19"/>
      <c r="B581" s="19"/>
      <c r="C581" s="19"/>
      <c r="D581" s="19"/>
      <c r="E581" s="19"/>
      <c r="F581" s="19"/>
      <c r="G581" s="19"/>
    </row>
    <row r="582" spans="1:7" ht="17.25" x14ac:dyDescent="0.15">
      <c r="A582" s="19"/>
      <c r="B582" s="19"/>
      <c r="C582" s="19"/>
      <c r="D582" s="19"/>
      <c r="E582" s="19"/>
      <c r="F582" s="19"/>
      <c r="G582" s="19"/>
    </row>
    <row r="583" spans="1:7" ht="17.25" x14ac:dyDescent="0.15">
      <c r="A583" s="19"/>
      <c r="B583" s="19"/>
      <c r="C583" s="19"/>
      <c r="D583" s="19"/>
      <c r="E583" s="19"/>
      <c r="F583" s="19"/>
      <c r="G583" s="19"/>
    </row>
    <row r="584" spans="1:7" ht="17.25" x14ac:dyDescent="0.15">
      <c r="A584" s="19"/>
      <c r="B584" s="19"/>
      <c r="C584" s="19"/>
      <c r="D584" s="19"/>
      <c r="E584" s="19"/>
      <c r="F584" s="19"/>
      <c r="G584" s="19"/>
    </row>
    <row r="585" spans="1:7" ht="17.25" x14ac:dyDescent="0.15">
      <c r="A585" s="19"/>
      <c r="B585" s="19"/>
      <c r="C585" s="19"/>
      <c r="D585" s="19"/>
      <c r="E585" s="19"/>
      <c r="F585" s="19"/>
      <c r="G585" s="19"/>
    </row>
    <row r="586" spans="1:7" ht="17.25" x14ac:dyDescent="0.15">
      <c r="A586" s="19"/>
      <c r="B586" s="19"/>
      <c r="C586" s="19"/>
      <c r="D586" s="19"/>
      <c r="E586" s="19"/>
      <c r="F586" s="19"/>
      <c r="G586" s="19"/>
    </row>
    <row r="587" spans="1:7" ht="17.25" x14ac:dyDescent="0.15">
      <c r="A587" s="19"/>
      <c r="B587" s="19"/>
      <c r="C587" s="19"/>
      <c r="D587" s="19"/>
      <c r="E587" s="19"/>
      <c r="F587" s="19"/>
      <c r="G587" s="19"/>
    </row>
    <row r="588" spans="1:7" ht="17.25" x14ac:dyDescent="0.15">
      <c r="A588" s="19"/>
      <c r="B588" s="19"/>
      <c r="C588" s="19"/>
      <c r="D588" s="19"/>
      <c r="E588" s="19"/>
      <c r="F588" s="19"/>
      <c r="G588" s="19"/>
    </row>
    <row r="589" spans="1:7" ht="17.25" x14ac:dyDescent="0.15">
      <c r="A589" s="19"/>
      <c r="B589" s="19"/>
      <c r="C589" s="19"/>
      <c r="D589" s="19"/>
      <c r="E589" s="19"/>
      <c r="F589" s="19"/>
      <c r="G589" s="19"/>
    </row>
    <row r="590" spans="1:7" ht="17.25" x14ac:dyDescent="0.15">
      <c r="A590" s="19"/>
      <c r="B590" s="19"/>
      <c r="C590" s="19"/>
      <c r="D590" s="19"/>
      <c r="E590" s="19"/>
      <c r="F590" s="19"/>
      <c r="G590" s="19"/>
    </row>
    <row r="591" spans="1:7" ht="17.25" x14ac:dyDescent="0.15">
      <c r="A591" s="19"/>
      <c r="B591" s="19"/>
      <c r="C591" s="19"/>
      <c r="D591" s="19"/>
      <c r="E591" s="19"/>
      <c r="F591" s="19"/>
      <c r="G591" s="19"/>
    </row>
    <row r="592" spans="1:7" ht="17.25" x14ac:dyDescent="0.15">
      <c r="A592" s="19"/>
      <c r="B592" s="19"/>
      <c r="C592" s="19"/>
      <c r="D592" s="19"/>
      <c r="E592" s="19"/>
      <c r="F592" s="19"/>
      <c r="G592" s="19"/>
    </row>
    <row r="593" spans="1:7" ht="17.25" x14ac:dyDescent="0.15">
      <c r="A593" s="19"/>
      <c r="B593" s="19"/>
      <c r="C593" s="19"/>
      <c r="D593" s="19"/>
      <c r="E593" s="19"/>
      <c r="F593" s="19"/>
      <c r="G593" s="19"/>
    </row>
    <row r="594" spans="1:7" ht="17.25" x14ac:dyDescent="0.15">
      <c r="A594" s="19"/>
      <c r="B594" s="19"/>
      <c r="C594" s="19"/>
      <c r="D594" s="19"/>
      <c r="E594" s="19"/>
      <c r="F594" s="19"/>
      <c r="G594" s="19"/>
    </row>
    <row r="595" spans="1:7" ht="17.25" x14ac:dyDescent="0.15">
      <c r="A595" s="19"/>
      <c r="B595" s="19"/>
      <c r="C595" s="19"/>
      <c r="D595" s="19"/>
      <c r="E595" s="19"/>
      <c r="F595" s="19"/>
      <c r="G595" s="19"/>
    </row>
    <row r="596" spans="1:7" ht="17.25" x14ac:dyDescent="0.15">
      <c r="A596" s="19"/>
      <c r="B596" s="19"/>
      <c r="C596" s="19"/>
      <c r="D596" s="19"/>
      <c r="E596" s="19"/>
      <c r="F596" s="19"/>
      <c r="G596" s="19"/>
    </row>
    <row r="597" spans="1:7" ht="17.25" x14ac:dyDescent="0.15">
      <c r="A597" s="19"/>
      <c r="B597" s="19"/>
      <c r="C597" s="19"/>
      <c r="D597" s="19"/>
      <c r="E597" s="19"/>
      <c r="F597" s="19"/>
      <c r="G597" s="19"/>
    </row>
    <row r="598" spans="1:7" ht="17.25" x14ac:dyDescent="0.15">
      <c r="A598" s="19"/>
      <c r="B598" s="19"/>
      <c r="C598" s="19"/>
      <c r="D598" s="19"/>
      <c r="E598" s="19"/>
      <c r="F598" s="19"/>
      <c r="G598" s="19"/>
    </row>
    <row r="599" spans="1:7" ht="17.25" x14ac:dyDescent="0.15">
      <c r="A599" s="19"/>
      <c r="B599" s="19"/>
      <c r="C599" s="19"/>
      <c r="D599" s="19"/>
      <c r="E599" s="19"/>
      <c r="F599" s="19"/>
      <c r="G599" s="19"/>
    </row>
    <row r="600" spans="1:7" ht="17.25" x14ac:dyDescent="0.15">
      <c r="A600" s="19"/>
      <c r="B600" s="19"/>
      <c r="C600" s="19"/>
      <c r="D600" s="19"/>
      <c r="E600" s="19"/>
      <c r="F600" s="19"/>
      <c r="G600" s="19"/>
    </row>
    <row r="601" spans="1:7" ht="17.25" x14ac:dyDescent="0.15">
      <c r="A601" s="19"/>
      <c r="B601" s="19"/>
      <c r="C601" s="19"/>
      <c r="D601" s="19"/>
      <c r="E601" s="19"/>
      <c r="F601" s="19"/>
      <c r="G601" s="19"/>
    </row>
    <row r="602" spans="1:7" ht="17.25" x14ac:dyDescent="0.15">
      <c r="A602" s="19"/>
      <c r="B602" s="19"/>
      <c r="C602" s="19"/>
      <c r="D602" s="19"/>
      <c r="E602" s="19"/>
      <c r="F602" s="19"/>
      <c r="G602" s="19"/>
    </row>
    <row r="603" spans="1:7" ht="17.25" x14ac:dyDescent="0.15">
      <c r="A603" s="19"/>
      <c r="B603" s="19"/>
      <c r="C603" s="19"/>
      <c r="D603" s="19"/>
      <c r="E603" s="19"/>
      <c r="F603" s="19"/>
      <c r="G603" s="19"/>
    </row>
    <row r="604" spans="1:7" ht="17.25" x14ac:dyDescent="0.15">
      <c r="A604" s="19"/>
      <c r="B604" s="19"/>
      <c r="C604" s="19"/>
      <c r="D604" s="19"/>
      <c r="E604" s="19"/>
      <c r="F604" s="19"/>
      <c r="G604" s="19"/>
    </row>
    <row r="605" spans="1:7" ht="17.25" x14ac:dyDescent="0.15">
      <c r="A605" s="19"/>
      <c r="B605" s="19"/>
      <c r="C605" s="19"/>
      <c r="D605" s="19"/>
      <c r="E605" s="19"/>
      <c r="F605" s="19"/>
      <c r="G605" s="19"/>
    </row>
    <row r="606" spans="1:7" ht="17.25" x14ac:dyDescent="0.15">
      <c r="A606" s="19"/>
      <c r="B606" s="19"/>
      <c r="C606" s="19"/>
      <c r="D606" s="19"/>
      <c r="E606" s="19"/>
      <c r="F606" s="19"/>
      <c r="G606" s="19"/>
    </row>
    <row r="607" spans="1:7" ht="17.25" x14ac:dyDescent="0.15">
      <c r="A607" s="19"/>
      <c r="B607" s="19"/>
      <c r="C607" s="19"/>
      <c r="D607" s="19"/>
      <c r="E607" s="19"/>
      <c r="F607" s="19"/>
      <c r="G607" s="19"/>
    </row>
    <row r="608" spans="1:7" ht="17.25" x14ac:dyDescent="0.15">
      <c r="A608" s="19"/>
      <c r="B608" s="19"/>
      <c r="C608" s="19"/>
      <c r="D608" s="19"/>
      <c r="E608" s="19"/>
      <c r="F608" s="19"/>
      <c r="G608" s="19"/>
    </row>
    <row r="609" spans="1:7" ht="17.25" x14ac:dyDescent="0.15">
      <c r="A609" s="19"/>
      <c r="B609" s="19"/>
      <c r="C609" s="19"/>
      <c r="D609" s="19"/>
      <c r="E609" s="19"/>
      <c r="F609" s="19"/>
      <c r="G609" s="19"/>
    </row>
    <row r="610" spans="1:7" ht="17.25" x14ac:dyDescent="0.15">
      <c r="A610" s="19"/>
      <c r="B610" s="19"/>
      <c r="C610" s="19"/>
      <c r="D610" s="19"/>
      <c r="E610" s="19"/>
      <c r="F610" s="19"/>
      <c r="G610" s="19"/>
    </row>
    <row r="611" spans="1:7" ht="17.25" x14ac:dyDescent="0.15">
      <c r="A611" s="19"/>
      <c r="B611" s="19"/>
      <c r="C611" s="19"/>
      <c r="D611" s="19"/>
      <c r="E611" s="19"/>
      <c r="F611" s="19"/>
      <c r="G611" s="19"/>
    </row>
    <row r="612" spans="1:7" ht="17.25" x14ac:dyDescent="0.15">
      <c r="A612" s="19"/>
      <c r="B612" s="19"/>
      <c r="C612" s="19"/>
      <c r="D612" s="19"/>
      <c r="E612" s="19"/>
      <c r="F612" s="19"/>
      <c r="G612" s="19"/>
    </row>
    <row r="613" spans="1:7" ht="17.25" x14ac:dyDescent="0.15">
      <c r="A613" s="19"/>
      <c r="B613" s="19"/>
      <c r="C613" s="19"/>
      <c r="D613" s="19"/>
      <c r="E613" s="19"/>
      <c r="F613" s="19"/>
      <c r="G613" s="19"/>
    </row>
    <row r="614" spans="1:7" ht="17.25" x14ac:dyDescent="0.15">
      <c r="A614" s="19"/>
      <c r="B614" s="19"/>
      <c r="C614" s="19"/>
      <c r="D614" s="19"/>
      <c r="E614" s="19"/>
      <c r="F614" s="19"/>
      <c r="G614" s="19"/>
    </row>
    <row r="615" spans="1:7" ht="17.25" x14ac:dyDescent="0.15">
      <c r="A615" s="19"/>
      <c r="B615" s="19"/>
      <c r="C615" s="19"/>
      <c r="D615" s="19"/>
      <c r="E615" s="19"/>
      <c r="F615" s="19"/>
      <c r="G615" s="19"/>
    </row>
    <row r="616" spans="1:7" ht="17.25" x14ac:dyDescent="0.15">
      <c r="A616" s="19"/>
      <c r="B616" s="19"/>
      <c r="C616" s="19"/>
      <c r="D616" s="19"/>
      <c r="E616" s="19"/>
      <c r="F616" s="19"/>
      <c r="G616" s="19"/>
    </row>
    <row r="617" spans="1:7" ht="17.25" x14ac:dyDescent="0.15">
      <c r="A617" s="19"/>
      <c r="B617" s="19"/>
      <c r="C617" s="19"/>
      <c r="D617" s="19"/>
      <c r="E617" s="19"/>
      <c r="F617" s="19"/>
      <c r="G617" s="19"/>
    </row>
    <row r="618" spans="1:7" ht="17.25" x14ac:dyDescent="0.15">
      <c r="A618" s="19"/>
      <c r="B618" s="19"/>
      <c r="C618" s="19"/>
      <c r="D618" s="19"/>
      <c r="E618" s="19"/>
      <c r="F618" s="19"/>
      <c r="G618" s="19"/>
    </row>
    <row r="619" spans="1:7" ht="17.25" x14ac:dyDescent="0.15">
      <c r="A619" s="19"/>
      <c r="B619" s="19"/>
      <c r="C619" s="19"/>
      <c r="D619" s="19"/>
      <c r="E619" s="19"/>
      <c r="F619" s="19"/>
      <c r="G619" s="19"/>
    </row>
    <row r="620" spans="1:7" ht="17.25" x14ac:dyDescent="0.15">
      <c r="A620" s="19"/>
      <c r="B620" s="19"/>
      <c r="C620" s="19"/>
      <c r="D620" s="19"/>
      <c r="E620" s="19"/>
      <c r="F620" s="19"/>
      <c r="G620" s="19"/>
    </row>
    <row r="621" spans="1:7" ht="17.25" x14ac:dyDescent="0.15">
      <c r="A621" s="19"/>
      <c r="B621" s="19"/>
      <c r="C621" s="19"/>
      <c r="D621" s="19"/>
      <c r="E621" s="19"/>
      <c r="F621" s="19"/>
      <c r="G621" s="19"/>
    </row>
    <row r="622" spans="1:7" ht="17.25" x14ac:dyDescent="0.15">
      <c r="A622" s="19"/>
      <c r="B622" s="19"/>
      <c r="C622" s="19"/>
      <c r="D622" s="19"/>
      <c r="E622" s="19"/>
      <c r="F622" s="19"/>
      <c r="G622" s="19"/>
    </row>
    <row r="623" spans="1:7" ht="17.25" x14ac:dyDescent="0.15">
      <c r="A623" s="19"/>
      <c r="B623" s="19"/>
      <c r="C623" s="19"/>
      <c r="D623" s="19"/>
      <c r="E623" s="19"/>
      <c r="F623" s="19"/>
      <c r="G623" s="19"/>
    </row>
    <row r="624" spans="1:7" ht="17.25" x14ac:dyDescent="0.15">
      <c r="A624" s="19"/>
      <c r="B624" s="19"/>
      <c r="C624" s="19"/>
      <c r="D624" s="19"/>
      <c r="E624" s="19"/>
      <c r="F624" s="19"/>
      <c r="G624" s="19"/>
    </row>
    <row r="625" spans="1:7" ht="17.25" x14ac:dyDescent="0.15">
      <c r="A625" s="19"/>
      <c r="B625" s="19"/>
      <c r="C625" s="19"/>
      <c r="D625" s="19"/>
      <c r="E625" s="19"/>
      <c r="F625" s="19"/>
      <c r="G625" s="19"/>
    </row>
    <row r="626" spans="1:7" ht="17.25" x14ac:dyDescent="0.15">
      <c r="A626" s="19"/>
      <c r="B626" s="19"/>
      <c r="C626" s="19"/>
      <c r="D626" s="19"/>
      <c r="E626" s="19"/>
      <c r="F626" s="19"/>
      <c r="G626" s="19"/>
    </row>
    <row r="627" spans="1:7" ht="17.25" x14ac:dyDescent="0.15">
      <c r="A627" s="19"/>
      <c r="B627" s="19"/>
      <c r="C627" s="19"/>
      <c r="D627" s="19"/>
      <c r="E627" s="19"/>
      <c r="F627" s="19"/>
      <c r="G627" s="19"/>
    </row>
    <row r="628" spans="1:7" ht="17.25" x14ac:dyDescent="0.15">
      <c r="A628" s="19"/>
      <c r="B628" s="19"/>
      <c r="C628" s="19"/>
      <c r="D628" s="19"/>
      <c r="E628" s="19"/>
      <c r="F628" s="19"/>
      <c r="G628" s="19"/>
    </row>
    <row r="629" spans="1:7" ht="17.25" x14ac:dyDescent="0.15">
      <c r="A629" s="19"/>
      <c r="B629" s="19"/>
      <c r="C629" s="19"/>
      <c r="D629" s="19"/>
      <c r="E629" s="19"/>
      <c r="F629" s="19"/>
      <c r="G629" s="19"/>
    </row>
    <row r="630" spans="1:7" ht="17.25" x14ac:dyDescent="0.15">
      <c r="A630" s="19"/>
      <c r="B630" s="19"/>
      <c r="C630" s="19"/>
      <c r="D630" s="19"/>
      <c r="E630" s="19"/>
      <c r="F630" s="19"/>
      <c r="G630" s="19"/>
    </row>
    <row r="631" spans="1:7" ht="17.25" x14ac:dyDescent="0.15">
      <c r="A631" s="19"/>
      <c r="B631" s="19"/>
      <c r="C631" s="19"/>
      <c r="D631" s="19"/>
      <c r="E631" s="19"/>
      <c r="F631" s="19"/>
      <c r="G631" s="19"/>
    </row>
    <row r="632" spans="1:7" ht="17.25" x14ac:dyDescent="0.15">
      <c r="A632" s="19"/>
      <c r="B632" s="19"/>
      <c r="C632" s="19"/>
      <c r="D632" s="19"/>
      <c r="E632" s="19"/>
      <c r="F632" s="19"/>
      <c r="G632" s="19"/>
    </row>
    <row r="633" spans="1:7" ht="17.25" x14ac:dyDescent="0.15">
      <c r="A633" s="19"/>
      <c r="B633" s="19"/>
      <c r="C633" s="19"/>
      <c r="D633" s="19"/>
      <c r="E633" s="19"/>
      <c r="F633" s="19"/>
      <c r="G633" s="19"/>
    </row>
    <row r="634" spans="1:7" ht="17.25" x14ac:dyDescent="0.15">
      <c r="A634" s="19"/>
      <c r="B634" s="19"/>
      <c r="C634" s="19"/>
      <c r="D634" s="19"/>
      <c r="E634" s="19"/>
      <c r="F634" s="19"/>
      <c r="G634" s="19"/>
    </row>
    <row r="635" spans="1:7" ht="17.25" x14ac:dyDescent="0.15">
      <c r="A635" s="19"/>
      <c r="B635" s="19"/>
      <c r="C635" s="19"/>
      <c r="D635" s="19"/>
      <c r="E635" s="19"/>
      <c r="F635" s="19"/>
      <c r="G635" s="19"/>
    </row>
    <row r="636" spans="1:7" ht="17.25" x14ac:dyDescent="0.15">
      <c r="A636" s="19"/>
      <c r="B636" s="19"/>
      <c r="C636" s="19"/>
      <c r="D636" s="19"/>
      <c r="E636" s="19"/>
      <c r="F636" s="19"/>
      <c r="G636" s="19"/>
    </row>
    <row r="637" spans="1:7" ht="17.25" x14ac:dyDescent="0.15">
      <c r="A637" s="19"/>
      <c r="B637" s="19"/>
      <c r="C637" s="19"/>
      <c r="D637" s="19"/>
      <c r="E637" s="19"/>
      <c r="F637" s="19"/>
      <c r="G637" s="19"/>
    </row>
    <row r="638" spans="1:7" ht="17.25" x14ac:dyDescent="0.15">
      <c r="A638" s="19"/>
      <c r="B638" s="19"/>
      <c r="C638" s="19"/>
      <c r="D638" s="19"/>
      <c r="E638" s="19"/>
      <c r="F638" s="19"/>
      <c r="G638" s="19"/>
    </row>
    <row r="639" spans="1:7" ht="17.25" x14ac:dyDescent="0.15">
      <c r="A639" s="19"/>
      <c r="B639" s="19"/>
      <c r="C639" s="19"/>
      <c r="D639" s="19"/>
      <c r="E639" s="19"/>
      <c r="F639" s="19"/>
      <c r="G639" s="19"/>
    </row>
    <row r="640" spans="1:7" ht="17.25" x14ac:dyDescent="0.15">
      <c r="A640" s="19"/>
      <c r="B640" s="19"/>
      <c r="C640" s="19"/>
      <c r="D640" s="19"/>
      <c r="E640" s="19"/>
      <c r="F640" s="19"/>
      <c r="G640" s="19"/>
    </row>
    <row r="641" spans="1:7" ht="17.25" x14ac:dyDescent="0.15">
      <c r="A641" s="19"/>
      <c r="B641" s="19"/>
      <c r="C641" s="19"/>
      <c r="D641" s="19"/>
      <c r="E641" s="19"/>
      <c r="F641" s="19"/>
      <c r="G641" s="19"/>
    </row>
    <row r="642" spans="1:7" ht="17.25" x14ac:dyDescent="0.15">
      <c r="A642" s="19"/>
      <c r="B642" s="19"/>
      <c r="C642" s="19"/>
      <c r="D642" s="19"/>
      <c r="E642" s="19"/>
      <c r="F642" s="19"/>
      <c r="G642" s="19"/>
    </row>
    <row r="643" spans="1:7" ht="17.25" x14ac:dyDescent="0.15">
      <c r="A643" s="19"/>
      <c r="B643" s="19"/>
      <c r="C643" s="19"/>
      <c r="D643" s="19"/>
      <c r="E643" s="19"/>
      <c r="F643" s="19"/>
      <c r="G643" s="19"/>
    </row>
    <row r="644" spans="1:7" ht="17.25" x14ac:dyDescent="0.15">
      <c r="A644" s="19"/>
      <c r="B644" s="19"/>
      <c r="C644" s="19"/>
      <c r="D644" s="19"/>
      <c r="E644" s="19"/>
      <c r="F644" s="19"/>
      <c r="G644" s="19"/>
    </row>
    <row r="645" spans="1:7" ht="17.25" x14ac:dyDescent="0.15">
      <c r="A645" s="19"/>
      <c r="B645" s="19"/>
      <c r="C645" s="19"/>
      <c r="D645" s="19"/>
      <c r="E645" s="19"/>
      <c r="F645" s="19"/>
      <c r="G645" s="19"/>
    </row>
    <row r="646" spans="1:7" ht="17.25" x14ac:dyDescent="0.15">
      <c r="A646" s="19"/>
      <c r="B646" s="19"/>
      <c r="C646" s="19"/>
      <c r="D646" s="19"/>
      <c r="E646" s="19"/>
      <c r="F646" s="19"/>
      <c r="G646" s="19"/>
    </row>
    <row r="647" spans="1:7" ht="17.25" x14ac:dyDescent="0.15">
      <c r="A647" s="19"/>
      <c r="B647" s="19"/>
      <c r="C647" s="19"/>
      <c r="D647" s="19"/>
      <c r="E647" s="19"/>
      <c r="F647" s="19"/>
      <c r="G647" s="19"/>
    </row>
    <row r="648" spans="1:7" ht="17.25" x14ac:dyDescent="0.15">
      <c r="A648" s="19"/>
      <c r="B648" s="19"/>
      <c r="C648" s="19"/>
      <c r="D648" s="19"/>
      <c r="E648" s="19"/>
      <c r="F648" s="19"/>
      <c r="G648" s="19"/>
    </row>
    <row r="649" spans="1:7" ht="17.25" x14ac:dyDescent="0.15">
      <c r="A649" s="19"/>
      <c r="B649" s="19"/>
      <c r="C649" s="19"/>
      <c r="D649" s="19"/>
      <c r="E649" s="19"/>
      <c r="F649" s="19"/>
      <c r="G649" s="19"/>
    </row>
    <row r="650" spans="1:7" ht="17.25" x14ac:dyDescent="0.15">
      <c r="A650" s="19"/>
      <c r="B650" s="19"/>
      <c r="C650" s="19"/>
      <c r="D650" s="19"/>
      <c r="E650" s="19"/>
      <c r="F650" s="19"/>
      <c r="G650" s="19"/>
    </row>
    <row r="651" spans="1:7" ht="17.25" x14ac:dyDescent="0.15">
      <c r="A651" s="19"/>
      <c r="B651" s="19"/>
      <c r="C651" s="19"/>
      <c r="D651" s="19"/>
      <c r="E651" s="19"/>
      <c r="F651" s="19"/>
      <c r="G651" s="19"/>
    </row>
    <row r="652" spans="1:7" ht="17.25" x14ac:dyDescent="0.15">
      <c r="A652" s="19"/>
      <c r="B652" s="19"/>
      <c r="C652" s="19"/>
      <c r="D652" s="19"/>
      <c r="E652" s="19"/>
      <c r="F652" s="19"/>
      <c r="G652" s="19"/>
    </row>
    <row r="653" spans="1:7" ht="17.25" x14ac:dyDescent="0.15">
      <c r="A653" s="19"/>
      <c r="B653" s="19"/>
      <c r="C653" s="19"/>
      <c r="D653" s="19"/>
      <c r="E653" s="19"/>
      <c r="F653" s="19"/>
      <c r="G653" s="19"/>
    </row>
    <row r="654" spans="1:7" ht="17.25" x14ac:dyDescent="0.15">
      <c r="A654" s="19"/>
      <c r="B654" s="19"/>
      <c r="C654" s="19"/>
      <c r="D654" s="19"/>
      <c r="E654" s="19"/>
      <c r="F654" s="19"/>
      <c r="G654" s="19"/>
    </row>
    <row r="655" spans="1:7" ht="17.25" x14ac:dyDescent="0.15">
      <c r="A655" s="19"/>
      <c r="B655" s="19"/>
      <c r="C655" s="19"/>
      <c r="D655" s="19"/>
      <c r="E655" s="19"/>
      <c r="F655" s="19"/>
      <c r="G655" s="19"/>
    </row>
    <row r="656" spans="1:7" ht="17.25" x14ac:dyDescent="0.15">
      <c r="A656" s="19"/>
      <c r="B656" s="19"/>
      <c r="C656" s="19"/>
      <c r="D656" s="19"/>
      <c r="E656" s="19"/>
      <c r="F656" s="19"/>
      <c r="G656" s="19"/>
    </row>
    <row r="657" spans="1:7" ht="17.25" x14ac:dyDescent="0.15">
      <c r="A657" s="19"/>
      <c r="B657" s="19"/>
      <c r="C657" s="19"/>
      <c r="D657" s="19"/>
      <c r="E657" s="19"/>
      <c r="F657" s="19"/>
      <c r="G657" s="19"/>
    </row>
    <row r="658" spans="1:7" ht="17.25" x14ac:dyDescent="0.15">
      <c r="A658" s="19"/>
      <c r="B658" s="19"/>
      <c r="C658" s="19"/>
      <c r="D658" s="19"/>
      <c r="E658" s="19"/>
      <c r="F658" s="19"/>
      <c r="G658" s="19"/>
    </row>
    <row r="659" spans="1:7" ht="17.25" x14ac:dyDescent="0.15">
      <c r="A659" s="19"/>
      <c r="B659" s="19"/>
      <c r="C659" s="19"/>
      <c r="D659" s="19"/>
      <c r="E659" s="19"/>
      <c r="F659" s="19"/>
      <c r="G659" s="19"/>
    </row>
    <row r="660" spans="1:7" ht="17.25" x14ac:dyDescent="0.15">
      <c r="A660" s="19"/>
      <c r="B660" s="19"/>
      <c r="C660" s="19"/>
      <c r="D660" s="19"/>
      <c r="E660" s="19"/>
      <c r="F660" s="19"/>
      <c r="G660" s="19"/>
    </row>
    <row r="661" spans="1:7" ht="17.25" x14ac:dyDescent="0.15">
      <c r="A661" s="19"/>
      <c r="B661" s="19"/>
      <c r="C661" s="19"/>
      <c r="D661" s="19"/>
      <c r="E661" s="19"/>
      <c r="F661" s="19"/>
      <c r="G661" s="19"/>
    </row>
    <row r="662" spans="1:7" ht="17.25" x14ac:dyDescent="0.15">
      <c r="A662" s="19"/>
      <c r="B662" s="19"/>
      <c r="C662" s="19"/>
      <c r="D662" s="19"/>
      <c r="E662" s="19"/>
      <c r="F662" s="19"/>
      <c r="G662" s="19"/>
    </row>
    <row r="663" spans="1:7" ht="17.25" x14ac:dyDescent="0.15">
      <c r="A663" s="19"/>
      <c r="B663" s="19"/>
      <c r="C663" s="19"/>
      <c r="D663" s="19"/>
      <c r="E663" s="19"/>
      <c r="F663" s="19"/>
      <c r="G663" s="19"/>
    </row>
    <row r="664" spans="1:7" ht="17.25" x14ac:dyDescent="0.15">
      <c r="A664" s="19"/>
      <c r="B664" s="19"/>
      <c r="C664" s="19"/>
      <c r="D664" s="19"/>
      <c r="E664" s="19"/>
      <c r="F664" s="19"/>
      <c r="G664" s="19"/>
    </row>
    <row r="665" spans="1:7" ht="17.25" x14ac:dyDescent="0.15">
      <c r="A665" s="19"/>
      <c r="B665" s="19"/>
      <c r="C665" s="19"/>
      <c r="D665" s="19"/>
      <c r="E665" s="19"/>
      <c r="F665" s="19"/>
      <c r="G665" s="19"/>
    </row>
    <row r="666" spans="1:7" ht="17.25" x14ac:dyDescent="0.15">
      <c r="A666" s="19"/>
      <c r="B666" s="19"/>
      <c r="C666" s="19"/>
      <c r="D666" s="19"/>
      <c r="E666" s="19"/>
      <c r="F666" s="19"/>
      <c r="G666" s="19"/>
    </row>
    <row r="667" spans="1:7" ht="17.25" x14ac:dyDescent="0.15">
      <c r="A667" s="19"/>
      <c r="B667" s="19"/>
      <c r="C667" s="19"/>
      <c r="D667" s="19"/>
      <c r="E667" s="19"/>
      <c r="F667" s="19"/>
      <c r="G667" s="19"/>
    </row>
    <row r="668" spans="1:7" ht="17.25" x14ac:dyDescent="0.15">
      <c r="A668" s="19"/>
      <c r="B668" s="19"/>
      <c r="C668" s="19"/>
      <c r="D668" s="19"/>
      <c r="E668" s="19"/>
      <c r="F668" s="19"/>
      <c r="G668" s="19"/>
    </row>
    <row r="669" spans="1:7" ht="17.25" x14ac:dyDescent="0.15">
      <c r="A669" s="19"/>
      <c r="B669" s="19"/>
      <c r="C669" s="19"/>
      <c r="D669" s="19"/>
      <c r="E669" s="19"/>
      <c r="F669" s="19"/>
      <c r="G669" s="19"/>
    </row>
    <row r="670" spans="1:7" ht="17.25" x14ac:dyDescent="0.15">
      <c r="A670" s="19"/>
      <c r="B670" s="19"/>
      <c r="C670" s="19"/>
      <c r="D670" s="19"/>
      <c r="E670" s="19"/>
      <c r="F670" s="19"/>
      <c r="G670" s="19"/>
    </row>
    <row r="671" spans="1:7" ht="17.25" x14ac:dyDescent="0.15">
      <c r="A671" s="19"/>
      <c r="B671" s="19"/>
      <c r="C671" s="19"/>
      <c r="D671" s="19"/>
      <c r="E671" s="19"/>
      <c r="F671" s="19"/>
      <c r="G671" s="19"/>
    </row>
    <row r="672" spans="1:7" ht="17.25" x14ac:dyDescent="0.15">
      <c r="A672" s="19"/>
      <c r="B672" s="19"/>
      <c r="C672" s="19"/>
      <c r="D672" s="19"/>
      <c r="E672" s="19"/>
      <c r="F672" s="19"/>
      <c r="G672" s="19"/>
    </row>
    <row r="673" spans="1:7" ht="17.25" x14ac:dyDescent="0.15">
      <c r="A673" s="19"/>
      <c r="B673" s="19"/>
      <c r="C673" s="19"/>
      <c r="D673" s="19"/>
      <c r="E673" s="19"/>
      <c r="F673" s="19"/>
      <c r="G673" s="19"/>
    </row>
    <row r="674" spans="1:7" ht="17.25" x14ac:dyDescent="0.15">
      <c r="A674" s="19"/>
      <c r="B674" s="19"/>
      <c r="C674" s="19"/>
      <c r="D674" s="19"/>
      <c r="E674" s="19"/>
      <c r="F674" s="19"/>
      <c r="G674" s="19"/>
    </row>
    <row r="675" spans="1:7" ht="17.25" x14ac:dyDescent="0.15">
      <c r="A675" s="19"/>
      <c r="B675" s="19"/>
      <c r="C675" s="19"/>
      <c r="D675" s="19"/>
      <c r="E675" s="19"/>
      <c r="F675" s="19"/>
      <c r="G675" s="19"/>
    </row>
    <row r="676" spans="1:7" ht="17.25" x14ac:dyDescent="0.15">
      <c r="A676" s="19"/>
      <c r="B676" s="19"/>
      <c r="C676" s="19"/>
      <c r="D676" s="19"/>
      <c r="E676" s="19"/>
      <c r="F676" s="19"/>
      <c r="G676" s="19"/>
    </row>
    <row r="677" spans="1:7" ht="17.25" x14ac:dyDescent="0.15">
      <c r="A677" s="19"/>
      <c r="B677" s="19"/>
      <c r="C677" s="19"/>
      <c r="D677" s="19"/>
      <c r="E677" s="19"/>
      <c r="F677" s="19"/>
      <c r="G677" s="19"/>
    </row>
    <row r="678" spans="1:7" ht="17.25" x14ac:dyDescent="0.15">
      <c r="A678" s="19"/>
      <c r="B678" s="19"/>
      <c r="C678" s="19"/>
      <c r="D678" s="19"/>
      <c r="E678" s="19"/>
      <c r="F678" s="19"/>
      <c r="G678" s="19"/>
    </row>
    <row r="679" spans="1:7" ht="17.25" x14ac:dyDescent="0.15">
      <c r="A679" s="19"/>
      <c r="B679" s="19"/>
      <c r="C679" s="19"/>
      <c r="D679" s="19"/>
      <c r="E679" s="19"/>
      <c r="F679" s="19"/>
      <c r="G679" s="19"/>
    </row>
    <row r="680" spans="1:7" ht="17.25" x14ac:dyDescent="0.15">
      <c r="A680" s="19"/>
      <c r="B680" s="19"/>
      <c r="C680" s="19"/>
      <c r="D680" s="19"/>
      <c r="E680" s="19"/>
      <c r="F680" s="19"/>
      <c r="G680" s="19"/>
    </row>
    <row r="681" spans="1:7" ht="17.25" x14ac:dyDescent="0.15">
      <c r="A681" s="19"/>
      <c r="B681" s="19"/>
      <c r="C681" s="19"/>
      <c r="D681" s="19"/>
      <c r="E681" s="19"/>
      <c r="F681" s="19"/>
      <c r="G681" s="19"/>
    </row>
    <row r="682" spans="1:7" ht="17.25" x14ac:dyDescent="0.15">
      <c r="A682" s="19"/>
      <c r="B682" s="19"/>
      <c r="C682" s="19"/>
      <c r="D682" s="19"/>
      <c r="E682" s="19"/>
      <c r="F682" s="19"/>
      <c r="G682" s="19"/>
    </row>
    <row r="683" spans="1:7" ht="17.25" x14ac:dyDescent="0.15">
      <c r="A683" s="19"/>
      <c r="B683" s="19"/>
      <c r="C683" s="19"/>
      <c r="D683" s="19"/>
      <c r="E683" s="19"/>
      <c r="F683" s="19"/>
      <c r="G683" s="19"/>
    </row>
    <row r="684" spans="1:7" ht="17.25" x14ac:dyDescent="0.15">
      <c r="A684" s="19"/>
      <c r="B684" s="19"/>
      <c r="C684" s="19"/>
      <c r="D684" s="19"/>
      <c r="E684" s="19"/>
      <c r="F684" s="19"/>
      <c r="G684" s="19"/>
    </row>
    <row r="685" spans="1:7" ht="17.25" x14ac:dyDescent="0.15">
      <c r="A685" s="19"/>
      <c r="B685" s="19"/>
      <c r="C685" s="19"/>
      <c r="D685" s="19"/>
      <c r="E685" s="19"/>
      <c r="F685" s="19"/>
      <c r="G685" s="19"/>
    </row>
    <row r="686" spans="1:7" ht="17.25" x14ac:dyDescent="0.15">
      <c r="A686" s="19"/>
      <c r="B686" s="19"/>
      <c r="C686" s="19"/>
      <c r="D686" s="19"/>
      <c r="E686" s="19"/>
      <c r="F686" s="19"/>
      <c r="G686" s="19"/>
    </row>
    <row r="687" spans="1:7" ht="17.25" x14ac:dyDescent="0.15">
      <c r="A687" s="19"/>
      <c r="B687" s="19"/>
      <c r="C687" s="19"/>
      <c r="D687" s="19"/>
      <c r="E687" s="19"/>
      <c r="F687" s="19"/>
      <c r="G687" s="19"/>
    </row>
    <row r="688" spans="1:7" ht="17.25" x14ac:dyDescent="0.15">
      <c r="A688" s="19"/>
      <c r="B688" s="19"/>
      <c r="C688" s="19"/>
      <c r="D688" s="19"/>
      <c r="E688" s="19"/>
      <c r="F688" s="19"/>
      <c r="G688" s="19"/>
    </row>
    <row r="689" spans="1:7" ht="17.25" x14ac:dyDescent="0.15">
      <c r="A689" s="19"/>
      <c r="B689" s="19"/>
      <c r="C689" s="19"/>
      <c r="D689" s="19"/>
      <c r="E689" s="19"/>
      <c r="F689" s="19"/>
      <c r="G689" s="19"/>
    </row>
    <row r="690" spans="1:7" ht="17.25" x14ac:dyDescent="0.15">
      <c r="A690" s="19"/>
      <c r="B690" s="19"/>
      <c r="C690" s="19"/>
      <c r="D690" s="19"/>
      <c r="E690" s="19"/>
      <c r="F690" s="19"/>
      <c r="G690" s="19"/>
    </row>
    <row r="691" spans="1:7" ht="17.25" x14ac:dyDescent="0.15">
      <c r="A691" s="19"/>
      <c r="B691" s="19"/>
      <c r="C691" s="19"/>
      <c r="D691" s="19"/>
      <c r="E691" s="19"/>
      <c r="F691" s="19"/>
      <c r="G691" s="19"/>
    </row>
    <row r="692" spans="1:7" ht="17.25" x14ac:dyDescent="0.15">
      <c r="A692" s="19"/>
      <c r="B692" s="19"/>
      <c r="C692" s="19"/>
      <c r="D692" s="19"/>
      <c r="E692" s="19"/>
      <c r="F692" s="19"/>
      <c r="G692" s="19"/>
    </row>
    <row r="693" spans="1:7" ht="17.25" x14ac:dyDescent="0.15">
      <c r="A693" s="19"/>
      <c r="B693" s="19"/>
      <c r="C693" s="19"/>
      <c r="D693" s="19"/>
      <c r="E693" s="19"/>
      <c r="F693" s="19"/>
      <c r="G693" s="19"/>
    </row>
    <row r="694" spans="1:7" ht="17.25" x14ac:dyDescent="0.15">
      <c r="A694" s="19"/>
      <c r="B694" s="19"/>
      <c r="C694" s="19"/>
      <c r="D694" s="19"/>
      <c r="E694" s="19"/>
      <c r="F694" s="19"/>
      <c r="G694" s="19"/>
    </row>
    <row r="695" spans="1:7" ht="17.25" x14ac:dyDescent="0.15">
      <c r="A695" s="19"/>
      <c r="B695" s="19"/>
      <c r="C695" s="19"/>
      <c r="D695" s="19"/>
      <c r="E695" s="19"/>
      <c r="F695" s="19"/>
      <c r="G695" s="19"/>
    </row>
    <row r="696" spans="1:7" ht="17.25" x14ac:dyDescent="0.15">
      <c r="A696" s="19"/>
      <c r="B696" s="19"/>
      <c r="C696" s="19"/>
      <c r="D696" s="19"/>
      <c r="E696" s="19"/>
      <c r="F696" s="19"/>
      <c r="G696" s="19"/>
    </row>
    <row r="697" spans="1:7" ht="17.25" x14ac:dyDescent="0.15">
      <c r="A697" s="19"/>
      <c r="B697" s="19"/>
      <c r="C697" s="19"/>
      <c r="D697" s="19"/>
      <c r="E697" s="19"/>
      <c r="F697" s="19"/>
      <c r="G697" s="19"/>
    </row>
    <row r="698" spans="1:7" ht="17.25" x14ac:dyDescent="0.15">
      <c r="A698" s="19"/>
      <c r="B698" s="19"/>
      <c r="C698" s="19"/>
      <c r="D698" s="19"/>
      <c r="E698" s="19"/>
      <c r="F698" s="19"/>
      <c r="G698" s="19"/>
    </row>
    <row r="699" spans="1:7" ht="17.25" x14ac:dyDescent="0.15">
      <c r="A699" s="19"/>
      <c r="B699" s="19"/>
      <c r="C699" s="19"/>
      <c r="D699" s="19"/>
      <c r="E699" s="19"/>
      <c r="F699" s="19"/>
      <c r="G699" s="19"/>
    </row>
    <row r="700" spans="1:7" ht="17.25" x14ac:dyDescent="0.15">
      <c r="A700" s="19"/>
      <c r="B700" s="19"/>
      <c r="C700" s="19"/>
      <c r="D700" s="19"/>
      <c r="E700" s="19"/>
      <c r="F700" s="19"/>
      <c r="G700" s="19"/>
    </row>
    <row r="701" spans="1:7" ht="17.25" x14ac:dyDescent="0.15">
      <c r="A701" s="19"/>
      <c r="B701" s="19"/>
      <c r="C701" s="19"/>
      <c r="D701" s="19"/>
      <c r="E701" s="19"/>
      <c r="F701" s="19"/>
      <c r="G701" s="19"/>
    </row>
    <row r="702" spans="1:7" ht="17.25" x14ac:dyDescent="0.15">
      <c r="A702" s="19"/>
      <c r="B702" s="19"/>
      <c r="C702" s="19"/>
      <c r="D702" s="19"/>
      <c r="E702" s="19"/>
      <c r="F702" s="19"/>
      <c r="G702" s="19"/>
    </row>
    <row r="703" spans="1:7" ht="17.25" x14ac:dyDescent="0.15">
      <c r="A703" s="19"/>
      <c r="B703" s="19"/>
      <c r="C703" s="19"/>
      <c r="D703" s="19"/>
      <c r="E703" s="19"/>
      <c r="F703" s="19"/>
      <c r="G703" s="19"/>
    </row>
    <row r="704" spans="1:7" ht="17.25" x14ac:dyDescent="0.15">
      <c r="A704" s="19"/>
      <c r="B704" s="19"/>
      <c r="C704" s="19"/>
      <c r="D704" s="19"/>
      <c r="E704" s="19"/>
      <c r="F704" s="19"/>
      <c r="G704" s="19"/>
    </row>
    <row r="705" spans="1:7" ht="17.25" x14ac:dyDescent="0.15">
      <c r="A705" s="19"/>
      <c r="B705" s="19"/>
      <c r="C705" s="19"/>
      <c r="D705" s="19"/>
      <c r="E705" s="19"/>
      <c r="F705" s="19"/>
      <c r="G705" s="19"/>
    </row>
    <row r="706" spans="1:7" ht="17.25" x14ac:dyDescent="0.15">
      <c r="A706" s="19"/>
      <c r="B706" s="19"/>
      <c r="C706" s="19"/>
      <c r="D706" s="19"/>
      <c r="E706" s="19"/>
      <c r="F706" s="19"/>
      <c r="G706" s="19"/>
    </row>
    <row r="707" spans="1:7" ht="17.25" x14ac:dyDescent="0.15">
      <c r="A707" s="19"/>
      <c r="B707" s="19"/>
      <c r="C707" s="19"/>
      <c r="D707" s="19"/>
      <c r="E707" s="19"/>
      <c r="F707" s="19"/>
      <c r="G707" s="19"/>
    </row>
    <row r="708" spans="1:7" ht="17.25" x14ac:dyDescent="0.15">
      <c r="A708" s="19"/>
      <c r="B708" s="19"/>
      <c r="C708" s="19"/>
      <c r="D708" s="19"/>
      <c r="E708" s="19"/>
      <c r="F708" s="19"/>
      <c r="G708" s="19"/>
    </row>
    <row r="709" spans="1:7" ht="17.25" x14ac:dyDescent="0.15">
      <c r="A709" s="19"/>
      <c r="B709" s="19"/>
      <c r="C709" s="19"/>
      <c r="D709" s="19"/>
      <c r="E709" s="19"/>
      <c r="F709" s="19"/>
      <c r="G709" s="19"/>
    </row>
    <row r="710" spans="1:7" ht="17.25" x14ac:dyDescent="0.15">
      <c r="A710" s="19"/>
      <c r="B710" s="19"/>
      <c r="C710" s="19"/>
      <c r="D710" s="19"/>
      <c r="E710" s="19"/>
      <c r="F710" s="19"/>
      <c r="G710" s="19"/>
    </row>
    <row r="711" spans="1:7" ht="17.25" x14ac:dyDescent="0.15">
      <c r="A711" s="19"/>
      <c r="B711" s="19"/>
      <c r="C711" s="19"/>
      <c r="D711" s="19"/>
      <c r="E711" s="19"/>
      <c r="F711" s="19"/>
      <c r="G711" s="19"/>
    </row>
    <row r="712" spans="1:7" ht="17.25" x14ac:dyDescent="0.15">
      <c r="A712" s="19"/>
      <c r="B712" s="19"/>
      <c r="C712" s="19"/>
      <c r="D712" s="19"/>
      <c r="E712" s="19"/>
      <c r="F712" s="19"/>
      <c r="G712" s="19"/>
    </row>
    <row r="713" spans="1:7" ht="17.25" x14ac:dyDescent="0.15">
      <c r="A713" s="19"/>
      <c r="B713" s="19"/>
      <c r="C713" s="19"/>
      <c r="D713" s="19"/>
      <c r="E713" s="19"/>
      <c r="F713" s="19"/>
      <c r="G713" s="19"/>
    </row>
    <row r="714" spans="1:7" ht="17.25" x14ac:dyDescent="0.15">
      <c r="A714" s="19"/>
      <c r="B714" s="19"/>
      <c r="C714" s="19"/>
      <c r="D714" s="19"/>
      <c r="E714" s="19"/>
      <c r="F714" s="19"/>
      <c r="G714" s="19"/>
    </row>
    <row r="715" spans="1:7" ht="17.25" x14ac:dyDescent="0.15">
      <c r="A715" s="19"/>
      <c r="B715" s="19"/>
      <c r="C715" s="19"/>
      <c r="D715" s="19"/>
      <c r="E715" s="19"/>
      <c r="F715" s="19"/>
      <c r="G715" s="19"/>
    </row>
    <row r="716" spans="1:7" ht="17.25" x14ac:dyDescent="0.15">
      <c r="A716" s="19"/>
      <c r="B716" s="19"/>
      <c r="C716" s="19"/>
      <c r="D716" s="19"/>
      <c r="E716" s="19"/>
      <c r="F716" s="19"/>
      <c r="G716" s="19"/>
    </row>
    <row r="717" spans="1:7" ht="17.25" x14ac:dyDescent="0.15">
      <c r="A717" s="19"/>
      <c r="B717" s="19"/>
      <c r="C717" s="19"/>
      <c r="D717" s="19"/>
      <c r="E717" s="19"/>
      <c r="F717" s="19"/>
      <c r="G717" s="19"/>
    </row>
    <row r="718" spans="1:7" ht="17.25" x14ac:dyDescent="0.15">
      <c r="A718" s="19"/>
      <c r="B718" s="19"/>
      <c r="C718" s="19"/>
      <c r="D718" s="19"/>
      <c r="E718" s="19"/>
      <c r="F718" s="19"/>
      <c r="G718" s="19"/>
    </row>
    <row r="719" spans="1:7" ht="17.25" x14ac:dyDescent="0.15">
      <c r="A719" s="19"/>
      <c r="B719" s="19"/>
      <c r="C719" s="19"/>
      <c r="D719" s="19"/>
      <c r="E719" s="19"/>
      <c r="F719" s="19"/>
      <c r="G719" s="19"/>
    </row>
    <row r="720" spans="1:7" ht="17.25" x14ac:dyDescent="0.15">
      <c r="A720" s="19"/>
      <c r="B720" s="19"/>
      <c r="C720" s="19"/>
      <c r="D720" s="19"/>
      <c r="E720" s="19"/>
      <c r="F720" s="19"/>
      <c r="G720" s="19"/>
    </row>
    <row r="721" spans="1:7" ht="17.25" x14ac:dyDescent="0.15">
      <c r="A721" s="19"/>
      <c r="B721" s="19"/>
      <c r="C721" s="19"/>
      <c r="D721" s="19"/>
      <c r="E721" s="19"/>
      <c r="F721" s="19"/>
      <c r="G721" s="19"/>
    </row>
    <row r="722" spans="1:7" ht="17.25" x14ac:dyDescent="0.15">
      <c r="A722" s="19"/>
      <c r="B722" s="19"/>
      <c r="C722" s="19"/>
      <c r="D722" s="19"/>
      <c r="E722" s="19"/>
      <c r="F722" s="19"/>
      <c r="G722" s="19"/>
    </row>
    <row r="723" spans="1:7" ht="17.25" x14ac:dyDescent="0.15">
      <c r="A723" s="19"/>
      <c r="B723" s="19"/>
      <c r="C723" s="19"/>
      <c r="D723" s="19"/>
      <c r="E723" s="19"/>
      <c r="F723" s="19"/>
      <c r="G723" s="19"/>
    </row>
    <row r="724" spans="1:7" ht="17.25" x14ac:dyDescent="0.15">
      <c r="A724" s="19"/>
      <c r="B724" s="19"/>
      <c r="C724" s="19"/>
      <c r="D724" s="19"/>
      <c r="E724" s="19"/>
      <c r="F724" s="19"/>
      <c r="G724" s="19"/>
    </row>
    <row r="725" spans="1:7" ht="17.25" x14ac:dyDescent="0.15">
      <c r="A725" s="19"/>
      <c r="B725" s="19"/>
      <c r="C725" s="19"/>
      <c r="D725" s="19"/>
      <c r="E725" s="19"/>
      <c r="F725" s="19"/>
      <c r="G725" s="19"/>
    </row>
    <row r="726" spans="1:7" ht="17.25" x14ac:dyDescent="0.15">
      <c r="A726" s="19"/>
      <c r="B726" s="19"/>
      <c r="C726" s="19"/>
      <c r="D726" s="19"/>
      <c r="E726" s="19"/>
      <c r="F726" s="19"/>
      <c r="G726" s="19"/>
    </row>
    <row r="727" spans="1:7" ht="17.25" x14ac:dyDescent="0.15">
      <c r="A727" s="19"/>
      <c r="B727" s="19"/>
      <c r="C727" s="19"/>
      <c r="D727" s="19"/>
      <c r="E727" s="19"/>
      <c r="F727" s="19"/>
      <c r="G727" s="19"/>
    </row>
    <row r="728" spans="1:7" ht="17.25" x14ac:dyDescent="0.15">
      <c r="A728" s="19"/>
      <c r="B728" s="19"/>
      <c r="C728" s="19"/>
      <c r="D728" s="19"/>
      <c r="E728" s="19"/>
      <c r="F728" s="19"/>
      <c r="G728" s="19"/>
    </row>
    <row r="729" spans="1:7" ht="17.25" x14ac:dyDescent="0.15">
      <c r="A729" s="19"/>
      <c r="B729" s="19"/>
      <c r="C729" s="19"/>
      <c r="D729" s="19"/>
      <c r="E729" s="19"/>
      <c r="F729" s="19"/>
      <c r="G729" s="19"/>
    </row>
    <row r="730" spans="1:7" ht="17.25" x14ac:dyDescent="0.15">
      <c r="A730" s="19"/>
      <c r="B730" s="19"/>
      <c r="C730" s="19"/>
      <c r="D730" s="19"/>
      <c r="E730" s="19"/>
      <c r="F730" s="19"/>
      <c r="G730" s="19"/>
    </row>
    <row r="731" spans="1:7" ht="17.25" x14ac:dyDescent="0.15">
      <c r="A731" s="19"/>
      <c r="B731" s="19"/>
      <c r="C731" s="19"/>
      <c r="D731" s="19"/>
      <c r="E731" s="19"/>
      <c r="F731" s="19"/>
      <c r="G731" s="19"/>
    </row>
    <row r="732" spans="1:7" ht="17.25" x14ac:dyDescent="0.15">
      <c r="A732" s="19"/>
      <c r="B732" s="19"/>
      <c r="C732" s="19"/>
      <c r="D732" s="19"/>
      <c r="E732" s="19"/>
      <c r="F732" s="19"/>
      <c r="G732" s="19"/>
    </row>
    <row r="733" spans="1:7" ht="17.25" x14ac:dyDescent="0.15">
      <c r="A733" s="19"/>
      <c r="B733" s="19"/>
      <c r="C733" s="19"/>
      <c r="D733" s="19"/>
      <c r="E733" s="19"/>
      <c r="F733" s="19"/>
      <c r="G733" s="19"/>
    </row>
    <row r="734" spans="1:7" ht="17.25" x14ac:dyDescent="0.15">
      <c r="A734" s="19"/>
      <c r="B734" s="19"/>
      <c r="C734" s="19"/>
      <c r="D734" s="19"/>
      <c r="E734" s="19"/>
      <c r="F734" s="19"/>
      <c r="G734" s="19"/>
    </row>
    <row r="735" spans="1:7" ht="17.25" x14ac:dyDescent="0.15">
      <c r="A735" s="19"/>
      <c r="B735" s="19"/>
      <c r="C735" s="19"/>
      <c r="D735" s="19"/>
      <c r="E735" s="19"/>
      <c r="F735" s="19"/>
      <c r="G735" s="19"/>
    </row>
    <row r="736" spans="1:7" ht="17.25" x14ac:dyDescent="0.15">
      <c r="A736" s="19"/>
      <c r="B736" s="19"/>
      <c r="C736" s="19"/>
      <c r="D736" s="19"/>
      <c r="E736" s="19"/>
      <c r="F736" s="19"/>
      <c r="G736" s="19"/>
    </row>
    <row r="737" spans="1:7" ht="17.25" x14ac:dyDescent="0.15">
      <c r="A737" s="19"/>
      <c r="B737" s="19"/>
      <c r="C737" s="19"/>
      <c r="D737" s="19"/>
      <c r="E737" s="19"/>
      <c r="F737" s="19"/>
      <c r="G737" s="19"/>
    </row>
    <row r="738" spans="1:7" ht="17.25" x14ac:dyDescent="0.15">
      <c r="A738" s="19"/>
      <c r="B738" s="19"/>
      <c r="C738" s="19"/>
      <c r="D738" s="19"/>
      <c r="E738" s="19"/>
      <c r="F738" s="19"/>
      <c r="G738" s="19"/>
    </row>
    <row r="739" spans="1:7" ht="17.25" x14ac:dyDescent="0.15">
      <c r="A739" s="19"/>
      <c r="B739" s="19"/>
      <c r="C739" s="19"/>
      <c r="D739" s="19"/>
      <c r="E739" s="19"/>
      <c r="F739" s="19"/>
      <c r="G739" s="19"/>
    </row>
    <row r="740" spans="1:7" ht="17.25" x14ac:dyDescent="0.15">
      <c r="A740" s="19"/>
      <c r="B740" s="19"/>
      <c r="C740" s="19"/>
      <c r="D740" s="19"/>
      <c r="E740" s="19"/>
      <c r="F740" s="19"/>
      <c r="G740" s="19"/>
    </row>
    <row r="741" spans="1:7" ht="17.25" x14ac:dyDescent="0.15">
      <c r="A741" s="19"/>
      <c r="B741" s="19"/>
      <c r="C741" s="19"/>
      <c r="D741" s="19"/>
      <c r="E741" s="19"/>
      <c r="F741" s="19"/>
      <c r="G741" s="19"/>
    </row>
    <row r="742" spans="1:7" ht="17.25" x14ac:dyDescent="0.15">
      <c r="A742" s="19"/>
      <c r="B742" s="19"/>
      <c r="C742" s="19"/>
      <c r="D742" s="19"/>
      <c r="E742" s="19"/>
      <c r="F742" s="19"/>
      <c r="G742" s="19"/>
    </row>
    <row r="743" spans="1:7" ht="17.25" x14ac:dyDescent="0.15">
      <c r="A743" s="19"/>
      <c r="B743" s="19"/>
      <c r="C743" s="19"/>
      <c r="D743" s="19"/>
      <c r="E743" s="19"/>
      <c r="F743" s="19"/>
      <c r="G743" s="19"/>
    </row>
    <row r="744" spans="1:7" ht="17.25" x14ac:dyDescent="0.15">
      <c r="A744" s="19"/>
      <c r="B744" s="19"/>
      <c r="C744" s="19"/>
      <c r="D744" s="19"/>
      <c r="E744" s="19"/>
      <c r="F744" s="19"/>
      <c r="G744" s="19"/>
    </row>
    <row r="745" spans="1:7" ht="17.25" x14ac:dyDescent="0.15">
      <c r="A745" s="19"/>
      <c r="B745" s="19"/>
      <c r="C745" s="19"/>
      <c r="D745" s="19"/>
      <c r="E745" s="19"/>
      <c r="F745" s="19"/>
      <c r="G745" s="19"/>
    </row>
    <row r="746" spans="1:7" ht="17.25" x14ac:dyDescent="0.15">
      <c r="A746" s="19"/>
      <c r="B746" s="19"/>
      <c r="C746" s="19"/>
      <c r="D746" s="19"/>
      <c r="E746" s="19"/>
      <c r="F746" s="19"/>
      <c r="G746" s="19"/>
    </row>
    <row r="747" spans="1:7" ht="17.25" x14ac:dyDescent="0.15">
      <c r="A747" s="19"/>
      <c r="B747" s="19"/>
      <c r="C747" s="19"/>
      <c r="D747" s="19"/>
      <c r="E747" s="19"/>
      <c r="F747" s="19"/>
      <c r="G747" s="19"/>
    </row>
    <row r="748" spans="1:7" ht="17.25" x14ac:dyDescent="0.15">
      <c r="A748" s="19"/>
      <c r="B748" s="19"/>
      <c r="C748" s="19"/>
      <c r="D748" s="19"/>
      <c r="E748" s="19"/>
      <c r="F748" s="19"/>
      <c r="G748" s="19"/>
    </row>
    <row r="749" spans="1:7" ht="17.25" x14ac:dyDescent="0.15">
      <c r="A749" s="19"/>
      <c r="B749" s="19"/>
      <c r="C749" s="19"/>
      <c r="D749" s="19"/>
      <c r="E749" s="19"/>
      <c r="F749" s="19"/>
      <c r="G749" s="19"/>
    </row>
    <row r="750" spans="1:7" ht="17.25" x14ac:dyDescent="0.15">
      <c r="A750" s="19"/>
      <c r="B750" s="19"/>
      <c r="C750" s="19"/>
      <c r="D750" s="19"/>
      <c r="E750" s="19"/>
      <c r="F750" s="19"/>
      <c r="G750" s="19"/>
    </row>
    <row r="751" spans="1:7" ht="17.25" x14ac:dyDescent="0.15">
      <c r="A751" s="19"/>
      <c r="B751" s="19"/>
      <c r="C751" s="19"/>
      <c r="D751" s="19"/>
      <c r="E751" s="19"/>
      <c r="F751" s="19"/>
      <c r="G751" s="19"/>
    </row>
    <row r="752" spans="1:7" ht="17.25" x14ac:dyDescent="0.15">
      <c r="A752" s="19"/>
      <c r="B752" s="19"/>
      <c r="C752" s="19"/>
      <c r="D752" s="19"/>
      <c r="E752" s="19"/>
      <c r="F752" s="19"/>
      <c r="G752" s="19"/>
    </row>
    <row r="753" spans="1:7" ht="17.25" x14ac:dyDescent="0.15">
      <c r="A753" s="19"/>
      <c r="B753" s="19"/>
      <c r="C753" s="19"/>
      <c r="D753" s="19"/>
      <c r="E753" s="19"/>
      <c r="F753" s="19"/>
      <c r="G753" s="19"/>
    </row>
    <row r="754" spans="1:7" ht="17.25" x14ac:dyDescent="0.15">
      <c r="A754" s="19"/>
      <c r="B754" s="19"/>
      <c r="C754" s="19"/>
      <c r="D754" s="19"/>
      <c r="E754" s="19"/>
      <c r="F754" s="19"/>
      <c r="G754" s="19"/>
    </row>
    <row r="755" spans="1:7" ht="17.25" x14ac:dyDescent="0.15">
      <c r="A755" s="19"/>
      <c r="B755" s="19"/>
      <c r="C755" s="19"/>
      <c r="D755" s="19"/>
      <c r="E755" s="19"/>
      <c r="F755" s="19"/>
      <c r="G755" s="19"/>
    </row>
    <row r="756" spans="1:7" ht="17.25" x14ac:dyDescent="0.15">
      <c r="A756" s="19"/>
      <c r="B756" s="19"/>
      <c r="C756" s="19"/>
      <c r="D756" s="19"/>
      <c r="E756" s="19"/>
      <c r="F756" s="19"/>
      <c r="G756" s="19"/>
    </row>
    <row r="757" spans="1:7" ht="17.25" x14ac:dyDescent="0.15">
      <c r="A757" s="19"/>
      <c r="B757" s="19"/>
      <c r="C757" s="19"/>
      <c r="D757" s="19"/>
      <c r="E757" s="19"/>
      <c r="F757" s="19"/>
      <c r="G757" s="19"/>
    </row>
    <row r="758" spans="1:7" ht="17.25" x14ac:dyDescent="0.15">
      <c r="A758" s="19"/>
      <c r="B758" s="19"/>
      <c r="C758" s="19"/>
      <c r="D758" s="19"/>
      <c r="E758" s="19"/>
      <c r="F758" s="19"/>
      <c r="G758" s="19"/>
    </row>
    <row r="759" spans="1:7" ht="17.25" x14ac:dyDescent="0.15">
      <c r="A759" s="19"/>
      <c r="B759" s="19"/>
      <c r="C759" s="19"/>
      <c r="D759" s="19"/>
      <c r="E759" s="19"/>
      <c r="F759" s="19"/>
      <c r="G759" s="19"/>
    </row>
    <row r="760" spans="1:7" ht="17.25" x14ac:dyDescent="0.15">
      <c r="A760" s="19"/>
      <c r="B760" s="19"/>
      <c r="C760" s="19"/>
      <c r="D760" s="19"/>
      <c r="E760" s="19"/>
      <c r="F760" s="19"/>
      <c r="G760" s="19"/>
    </row>
    <row r="761" spans="1:7" ht="17.25" x14ac:dyDescent="0.15">
      <c r="A761" s="19"/>
      <c r="B761" s="19"/>
      <c r="C761" s="19"/>
      <c r="D761" s="19"/>
      <c r="E761" s="19"/>
      <c r="F761" s="19"/>
      <c r="G761" s="19"/>
    </row>
    <row r="762" spans="1:7" ht="17.25" x14ac:dyDescent="0.15">
      <c r="A762" s="19"/>
      <c r="B762" s="19"/>
      <c r="C762" s="19"/>
      <c r="D762" s="19"/>
      <c r="E762" s="19"/>
      <c r="F762" s="19"/>
      <c r="G762" s="19"/>
    </row>
    <row r="763" spans="1:7" ht="17.25" x14ac:dyDescent="0.15">
      <c r="A763" s="19"/>
      <c r="B763" s="19"/>
      <c r="C763" s="19"/>
      <c r="D763" s="19"/>
      <c r="E763" s="19"/>
      <c r="F763" s="19"/>
      <c r="G763" s="19"/>
    </row>
    <row r="764" spans="1:7" ht="17.25" x14ac:dyDescent="0.15">
      <c r="A764" s="19"/>
      <c r="B764" s="19"/>
      <c r="C764" s="19"/>
      <c r="D764" s="19"/>
      <c r="E764" s="19"/>
      <c r="F764" s="19"/>
      <c r="G764" s="19"/>
    </row>
    <row r="765" spans="1:7" ht="17.25" x14ac:dyDescent="0.15">
      <c r="A765" s="19"/>
      <c r="B765" s="19"/>
      <c r="C765" s="19"/>
      <c r="D765" s="19"/>
      <c r="E765" s="19"/>
      <c r="F765" s="19"/>
      <c r="G765" s="19"/>
    </row>
    <row r="766" spans="1:7" ht="17.25" x14ac:dyDescent="0.15">
      <c r="A766" s="19"/>
      <c r="B766" s="19"/>
      <c r="C766" s="19"/>
      <c r="D766" s="19"/>
      <c r="E766" s="19"/>
      <c r="F766" s="19"/>
      <c r="G766" s="19"/>
    </row>
    <row r="767" spans="1:7" ht="17.25" x14ac:dyDescent="0.15">
      <c r="A767" s="19"/>
      <c r="B767" s="19"/>
      <c r="C767" s="19"/>
      <c r="D767" s="19"/>
      <c r="E767" s="19"/>
      <c r="F767" s="19"/>
      <c r="G767" s="19"/>
    </row>
    <row r="768" spans="1:7" ht="17.25" x14ac:dyDescent="0.15">
      <c r="A768" s="19"/>
      <c r="B768" s="19"/>
      <c r="C768" s="19"/>
      <c r="D768" s="19"/>
      <c r="E768" s="19"/>
      <c r="F768" s="19"/>
      <c r="G768" s="19"/>
    </row>
    <row r="769" spans="1:7" ht="17.25" x14ac:dyDescent="0.15">
      <c r="A769" s="19"/>
      <c r="B769" s="19"/>
      <c r="C769" s="19"/>
      <c r="D769" s="19"/>
      <c r="E769" s="19"/>
      <c r="F769" s="19"/>
      <c r="G769" s="19"/>
    </row>
    <row r="770" spans="1:7" ht="17.25" x14ac:dyDescent="0.15">
      <c r="A770" s="19"/>
      <c r="B770" s="19"/>
      <c r="C770" s="19"/>
      <c r="D770" s="19"/>
      <c r="E770" s="19"/>
      <c r="F770" s="19"/>
      <c r="G770" s="19"/>
    </row>
    <row r="771" spans="1:7" ht="17.25" x14ac:dyDescent="0.15">
      <c r="A771" s="19"/>
      <c r="B771" s="19"/>
      <c r="C771" s="19"/>
      <c r="D771" s="19"/>
      <c r="E771" s="19"/>
      <c r="F771" s="19"/>
      <c r="G771" s="19"/>
    </row>
    <row r="772" spans="1:7" ht="17.25" x14ac:dyDescent="0.15">
      <c r="A772" s="19"/>
      <c r="B772" s="19"/>
      <c r="C772" s="19"/>
      <c r="D772" s="19"/>
      <c r="E772" s="19"/>
      <c r="F772" s="19"/>
      <c r="G772" s="19"/>
    </row>
    <row r="773" spans="1:7" ht="17.25" x14ac:dyDescent="0.15">
      <c r="A773" s="19"/>
      <c r="B773" s="19"/>
      <c r="C773" s="19"/>
      <c r="D773" s="19"/>
      <c r="E773" s="19"/>
      <c r="F773" s="19"/>
      <c r="G773" s="19"/>
    </row>
    <row r="774" spans="1:7" ht="17.25" x14ac:dyDescent="0.15">
      <c r="A774" s="19"/>
      <c r="B774" s="19"/>
      <c r="C774" s="19"/>
      <c r="D774" s="19"/>
      <c r="E774" s="19"/>
      <c r="F774" s="19"/>
      <c r="G774" s="19"/>
    </row>
    <row r="775" spans="1:7" ht="17.25" x14ac:dyDescent="0.15">
      <c r="A775" s="19"/>
      <c r="B775" s="19"/>
      <c r="C775" s="19"/>
      <c r="D775" s="19"/>
      <c r="E775" s="19"/>
      <c r="F775" s="19"/>
      <c r="G775" s="19"/>
    </row>
    <row r="776" spans="1:7" ht="17.25" x14ac:dyDescent="0.15">
      <c r="A776" s="19"/>
      <c r="B776" s="19"/>
      <c r="C776" s="19"/>
      <c r="D776" s="19"/>
      <c r="E776" s="19"/>
      <c r="F776" s="19"/>
      <c r="G776" s="19"/>
    </row>
    <row r="777" spans="1:7" ht="17.25" x14ac:dyDescent="0.15">
      <c r="A777" s="19"/>
      <c r="B777" s="19"/>
      <c r="C777" s="19"/>
      <c r="D777" s="19"/>
      <c r="E777" s="19"/>
      <c r="F777" s="19"/>
      <c r="G777" s="19"/>
    </row>
    <row r="778" spans="1:7" ht="17.25" x14ac:dyDescent="0.15">
      <c r="A778" s="19"/>
      <c r="B778" s="19"/>
      <c r="C778" s="19"/>
      <c r="D778" s="19"/>
      <c r="E778" s="19"/>
      <c r="F778" s="19"/>
      <c r="G778" s="19"/>
    </row>
    <row r="779" spans="1:7" ht="17.25" x14ac:dyDescent="0.15">
      <c r="A779" s="19"/>
      <c r="B779" s="19"/>
      <c r="C779" s="19"/>
      <c r="D779" s="19"/>
      <c r="E779" s="19"/>
      <c r="F779" s="19"/>
      <c r="G779" s="19"/>
    </row>
    <row r="780" spans="1:7" ht="17.25" x14ac:dyDescent="0.15">
      <c r="A780" s="19"/>
      <c r="B780" s="19"/>
      <c r="C780" s="19"/>
      <c r="D780" s="19"/>
      <c r="E780" s="19"/>
      <c r="F780" s="19"/>
      <c r="G780" s="19"/>
    </row>
    <row r="781" spans="1:7" ht="17.25" x14ac:dyDescent="0.15">
      <c r="A781" s="19"/>
      <c r="B781" s="19"/>
      <c r="C781" s="19"/>
      <c r="D781" s="19"/>
      <c r="E781" s="19"/>
      <c r="F781" s="19"/>
      <c r="G781" s="19"/>
    </row>
    <row r="782" spans="1:7" ht="17.25" x14ac:dyDescent="0.15">
      <c r="A782" s="19"/>
      <c r="B782" s="19"/>
      <c r="C782" s="19"/>
      <c r="D782" s="19"/>
      <c r="E782" s="19"/>
      <c r="F782" s="19"/>
      <c r="G782" s="19"/>
    </row>
    <row r="783" spans="1:7" ht="17.25" x14ac:dyDescent="0.15">
      <c r="A783" s="19"/>
      <c r="B783" s="19"/>
      <c r="C783" s="19"/>
      <c r="D783" s="19"/>
      <c r="E783" s="19"/>
      <c r="F783" s="19"/>
      <c r="G783" s="19"/>
    </row>
    <row r="784" spans="1:7" ht="17.25" x14ac:dyDescent="0.15">
      <c r="A784" s="19"/>
      <c r="B784" s="19"/>
      <c r="C784" s="19"/>
      <c r="D784" s="19"/>
      <c r="E784" s="19"/>
      <c r="F784" s="19"/>
      <c r="G784" s="19"/>
    </row>
    <row r="785" spans="1:7" ht="17.25" x14ac:dyDescent="0.15">
      <c r="A785" s="19"/>
      <c r="B785" s="19"/>
      <c r="C785" s="19"/>
      <c r="D785" s="19"/>
      <c r="E785" s="19"/>
      <c r="F785" s="19"/>
      <c r="G785" s="19"/>
    </row>
    <row r="786" spans="1:7" ht="17.25" x14ac:dyDescent="0.15">
      <c r="A786" s="19"/>
      <c r="B786" s="19"/>
      <c r="C786" s="19"/>
      <c r="D786" s="19"/>
      <c r="E786" s="19"/>
      <c r="F786" s="19"/>
      <c r="G786" s="19"/>
    </row>
    <row r="787" spans="1:7" ht="17.25" x14ac:dyDescent="0.15">
      <c r="A787" s="19"/>
      <c r="B787" s="19"/>
      <c r="C787" s="19"/>
      <c r="D787" s="19"/>
      <c r="E787" s="19"/>
      <c r="F787" s="19"/>
      <c r="G787" s="19"/>
    </row>
    <row r="788" spans="1:7" ht="17.25" x14ac:dyDescent="0.15">
      <c r="A788" s="19"/>
      <c r="B788" s="19"/>
      <c r="C788" s="19"/>
      <c r="D788" s="19"/>
      <c r="E788" s="19"/>
      <c r="F788" s="19"/>
      <c r="G788" s="19"/>
    </row>
    <row r="789" spans="1:7" ht="17.25" x14ac:dyDescent="0.15">
      <c r="A789" s="19"/>
      <c r="B789" s="19"/>
      <c r="C789" s="19"/>
      <c r="D789" s="19"/>
      <c r="E789" s="19"/>
      <c r="F789" s="19"/>
      <c r="G789" s="19"/>
    </row>
    <row r="790" spans="1:7" ht="17.25" x14ac:dyDescent="0.15">
      <c r="A790" s="19"/>
      <c r="B790" s="19"/>
      <c r="C790" s="19"/>
      <c r="D790" s="19"/>
      <c r="E790" s="19"/>
      <c r="F790" s="19"/>
      <c r="G790" s="19"/>
    </row>
    <row r="791" spans="1:7" ht="17.25" x14ac:dyDescent="0.15">
      <c r="A791" s="19"/>
      <c r="B791" s="19"/>
      <c r="C791" s="19"/>
      <c r="D791" s="19"/>
      <c r="E791" s="19"/>
      <c r="F791" s="19"/>
      <c r="G791" s="19"/>
    </row>
    <row r="792" spans="1:7" ht="17.25" x14ac:dyDescent="0.15">
      <c r="A792" s="19"/>
      <c r="B792" s="19"/>
      <c r="C792" s="19"/>
      <c r="D792" s="19"/>
      <c r="E792" s="19"/>
      <c r="F792" s="19"/>
      <c r="G792" s="19"/>
    </row>
    <row r="793" spans="1:7" ht="17.25" x14ac:dyDescent="0.15">
      <c r="A793" s="19"/>
      <c r="B793" s="19"/>
      <c r="C793" s="19"/>
      <c r="D793" s="19"/>
      <c r="E793" s="19"/>
      <c r="F793" s="19"/>
      <c r="G793" s="19"/>
    </row>
    <row r="794" spans="1:7" ht="17.25" x14ac:dyDescent="0.15">
      <c r="A794" s="19"/>
      <c r="B794" s="19"/>
      <c r="C794" s="19"/>
      <c r="D794" s="19"/>
      <c r="E794" s="19"/>
      <c r="F794" s="19"/>
      <c r="G794" s="19"/>
    </row>
    <row r="795" spans="1:7" ht="17.25" x14ac:dyDescent="0.15">
      <c r="A795" s="19"/>
      <c r="B795" s="19"/>
      <c r="C795" s="19"/>
      <c r="D795" s="19"/>
      <c r="E795" s="19"/>
      <c r="F795" s="19"/>
      <c r="G795" s="19"/>
    </row>
    <row r="796" spans="1:7" ht="17.25" x14ac:dyDescent="0.15">
      <c r="A796" s="19"/>
      <c r="B796" s="19"/>
      <c r="C796" s="19"/>
      <c r="D796" s="19"/>
      <c r="E796" s="19"/>
      <c r="F796" s="19"/>
      <c r="G796" s="19"/>
    </row>
    <row r="797" spans="1:7" ht="17.25" x14ac:dyDescent="0.15">
      <c r="A797" s="19"/>
      <c r="B797" s="19"/>
      <c r="C797" s="19"/>
      <c r="D797" s="19"/>
      <c r="E797" s="19"/>
      <c r="F797" s="19"/>
      <c r="G797" s="19"/>
    </row>
    <row r="798" spans="1:7" ht="17.25" x14ac:dyDescent="0.15">
      <c r="A798" s="19"/>
      <c r="B798" s="19"/>
      <c r="C798" s="19"/>
      <c r="D798" s="19"/>
      <c r="E798" s="19"/>
      <c r="F798" s="19"/>
      <c r="G798" s="19"/>
    </row>
    <row r="799" spans="1:7" ht="17.25" x14ac:dyDescent="0.15">
      <c r="A799" s="19"/>
      <c r="B799" s="19"/>
      <c r="C799" s="19"/>
      <c r="D799" s="19"/>
      <c r="E799" s="19"/>
      <c r="F799" s="19"/>
      <c r="G799" s="19"/>
    </row>
    <row r="800" spans="1:7" ht="17.25" x14ac:dyDescent="0.15">
      <c r="A800" s="19"/>
      <c r="B800" s="19"/>
      <c r="C800" s="19"/>
      <c r="D800" s="19"/>
      <c r="E800" s="19"/>
      <c r="F800" s="19"/>
      <c r="G800" s="19"/>
    </row>
    <row r="801" spans="1:7" ht="17.25" x14ac:dyDescent="0.15">
      <c r="A801" s="19"/>
      <c r="B801" s="19"/>
      <c r="C801" s="19"/>
      <c r="D801" s="19"/>
      <c r="E801" s="19"/>
      <c r="F801" s="19"/>
      <c r="G801" s="19"/>
    </row>
    <row r="802" spans="1:7" ht="17.25" x14ac:dyDescent="0.15">
      <c r="A802" s="19"/>
      <c r="B802" s="19"/>
      <c r="C802" s="19"/>
      <c r="D802" s="19"/>
      <c r="E802" s="19"/>
      <c r="F802" s="19"/>
      <c r="G802" s="19"/>
    </row>
    <row r="803" spans="1:7" ht="17.25" x14ac:dyDescent="0.15">
      <c r="A803" s="19"/>
      <c r="B803" s="19"/>
      <c r="C803" s="19"/>
      <c r="D803" s="19"/>
      <c r="E803" s="19"/>
      <c r="F803" s="19"/>
      <c r="G803" s="19"/>
    </row>
    <row r="804" spans="1:7" ht="17.25" x14ac:dyDescent="0.15">
      <c r="A804" s="19"/>
      <c r="B804" s="19"/>
      <c r="C804" s="19"/>
      <c r="D804" s="19"/>
      <c r="E804" s="19"/>
      <c r="F804" s="19"/>
      <c r="G804" s="19"/>
    </row>
    <row r="805" spans="1:7" ht="17.25" x14ac:dyDescent="0.15">
      <c r="A805" s="19"/>
      <c r="B805" s="19"/>
      <c r="C805" s="19"/>
      <c r="D805" s="19"/>
      <c r="E805" s="19"/>
      <c r="F805" s="19"/>
      <c r="G805" s="19"/>
    </row>
    <row r="806" spans="1:7" ht="17.25" x14ac:dyDescent="0.15">
      <c r="A806" s="19"/>
      <c r="B806" s="19"/>
      <c r="C806" s="19"/>
      <c r="D806" s="19"/>
      <c r="E806" s="19"/>
      <c r="F806" s="19"/>
      <c r="G806" s="19"/>
    </row>
    <row r="807" spans="1:7" ht="17.25" x14ac:dyDescent="0.15">
      <c r="A807" s="19"/>
      <c r="B807" s="19"/>
      <c r="C807" s="19"/>
      <c r="D807" s="19"/>
      <c r="E807" s="19"/>
      <c r="F807" s="19"/>
      <c r="G807" s="19"/>
    </row>
    <row r="808" spans="1:7" ht="17.25" x14ac:dyDescent="0.15">
      <c r="A808" s="19"/>
      <c r="B808" s="19"/>
      <c r="C808" s="19"/>
      <c r="D808" s="19"/>
      <c r="E808" s="19"/>
      <c r="F808" s="19"/>
      <c r="G808" s="19"/>
    </row>
    <row r="809" spans="1:7" ht="17.25" x14ac:dyDescent="0.15">
      <c r="A809" s="19"/>
      <c r="B809" s="19"/>
      <c r="C809" s="19"/>
      <c r="D809" s="19"/>
      <c r="E809" s="19"/>
      <c r="F809" s="19"/>
      <c r="G809" s="19"/>
    </row>
    <row r="810" spans="1:7" ht="17.25" x14ac:dyDescent="0.15">
      <c r="A810" s="19"/>
      <c r="B810" s="19"/>
      <c r="C810" s="19"/>
      <c r="D810" s="19"/>
      <c r="E810" s="19"/>
      <c r="F810" s="19"/>
      <c r="G810" s="19"/>
    </row>
    <row r="811" spans="1:7" ht="17.25" x14ac:dyDescent="0.15">
      <c r="A811" s="19"/>
      <c r="B811" s="19"/>
      <c r="C811" s="19"/>
      <c r="D811" s="19"/>
      <c r="E811" s="19"/>
      <c r="F811" s="19"/>
      <c r="G811" s="19"/>
    </row>
    <row r="812" spans="1:7" ht="17.25" x14ac:dyDescent="0.15">
      <c r="A812" s="19"/>
      <c r="B812" s="19"/>
      <c r="C812" s="19"/>
      <c r="D812" s="19"/>
      <c r="E812" s="19"/>
      <c r="F812" s="19"/>
      <c r="G812" s="19"/>
    </row>
    <row r="813" spans="1:7" ht="17.25" x14ac:dyDescent="0.15">
      <c r="A813" s="19"/>
      <c r="B813" s="19"/>
      <c r="C813" s="19"/>
      <c r="D813" s="19"/>
      <c r="E813" s="19"/>
      <c r="F813" s="19"/>
      <c r="G813" s="19"/>
    </row>
    <row r="814" spans="1:7" ht="17.25" x14ac:dyDescent="0.15">
      <c r="A814" s="19"/>
      <c r="B814" s="19"/>
      <c r="C814" s="19"/>
      <c r="D814" s="19"/>
      <c r="E814" s="19"/>
      <c r="F814" s="19"/>
      <c r="G814" s="19"/>
    </row>
    <row r="815" spans="1:7" ht="17.25" x14ac:dyDescent="0.15">
      <c r="A815" s="19"/>
      <c r="B815" s="19"/>
      <c r="C815" s="19"/>
      <c r="D815" s="19"/>
      <c r="E815" s="19"/>
      <c r="F815" s="19"/>
      <c r="G815" s="19"/>
    </row>
    <row r="816" spans="1:7" ht="17.25" x14ac:dyDescent="0.15">
      <c r="A816" s="19"/>
      <c r="B816" s="19"/>
      <c r="C816" s="19"/>
      <c r="D816" s="19"/>
      <c r="E816" s="19"/>
      <c r="F816" s="19"/>
      <c r="G816" s="19"/>
    </row>
    <row r="817" spans="1:7" ht="17.25" x14ac:dyDescent="0.15">
      <c r="A817" s="19"/>
      <c r="B817" s="19"/>
      <c r="C817" s="19"/>
      <c r="D817" s="19"/>
      <c r="E817" s="19"/>
      <c r="F817" s="19"/>
      <c r="G817" s="19"/>
    </row>
    <row r="818" spans="1:7" ht="17.25" x14ac:dyDescent="0.15">
      <c r="A818" s="19"/>
      <c r="B818" s="19"/>
      <c r="C818" s="19"/>
      <c r="D818" s="19"/>
      <c r="E818" s="19"/>
      <c r="F818" s="19"/>
      <c r="G818" s="19"/>
    </row>
    <row r="819" spans="1:7" ht="17.25" x14ac:dyDescent="0.15">
      <c r="A819" s="19"/>
      <c r="B819" s="19"/>
      <c r="C819" s="19"/>
      <c r="D819" s="19"/>
      <c r="E819" s="19"/>
      <c r="F819" s="19"/>
      <c r="G819" s="19"/>
    </row>
  </sheetData>
  <mergeCells count="2">
    <mergeCell ref="A2:G2"/>
    <mergeCell ref="A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2384D"/>
    <outlinePr summaryBelow="0" summaryRight="0"/>
  </sheetPr>
  <dimension ref="A1:AQ966"/>
  <sheetViews>
    <sheetView topLeftCell="A4" workbookViewId="0">
      <selection activeCell="D11" sqref="D11"/>
    </sheetView>
  </sheetViews>
  <sheetFormatPr defaultColWidth="12.5390625" defaultRowHeight="15.75" customHeight="1" outlineLevelRow="1" outlineLevelCol="1" x14ac:dyDescent="0.15"/>
  <cols>
    <col min="1" max="1" width="33.44140625" customWidth="1"/>
    <col min="2" max="2" width="18.609375" customWidth="1"/>
    <col min="3" max="3" width="12.13671875" customWidth="1"/>
    <col min="4" max="4" width="30.4765625" customWidth="1"/>
    <col min="5" max="5" width="13.484375" customWidth="1" collapsed="1"/>
    <col min="6" max="17" width="12.5390625" hidden="1" outlineLevel="1"/>
    <col min="18" max="18" width="13.6171875" customWidth="1" collapsed="1"/>
    <col min="19" max="30" width="12.5390625" hidden="1" outlineLevel="1"/>
    <col min="31" max="31" width="12.5390625" collapsed="1"/>
    <col min="32" max="43" width="12.5390625" hidden="1" outlineLevel="1"/>
  </cols>
  <sheetData>
    <row r="1" spans="1:43" ht="30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ht="30.75" customHeight="1" x14ac:dyDescent="0.15">
      <c r="A2" s="163" t="s">
        <v>54</v>
      </c>
      <c r="B2" s="164"/>
      <c r="C2" s="164"/>
      <c r="D2" s="16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0.75" customHeight="1" outlineLevel="1" x14ac:dyDescent="0.45">
      <c r="A3" s="165" t="s">
        <v>79</v>
      </c>
      <c r="B3" s="164"/>
      <c r="C3" s="4"/>
      <c r="D3" s="55" t="s">
        <v>80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21" outlineLevel="1" x14ac:dyDescent="0.4">
      <c r="A4" s="84" t="s">
        <v>81</v>
      </c>
      <c r="B4" s="84" t="s">
        <v>82</v>
      </c>
      <c r="C4" s="4"/>
      <c r="D4" s="84" t="s">
        <v>83</v>
      </c>
      <c r="E4" s="57">
        <v>45291</v>
      </c>
      <c r="F4" s="60">
        <v>44927</v>
      </c>
      <c r="G4" s="60">
        <v>44958</v>
      </c>
      <c r="H4" s="60">
        <v>44986</v>
      </c>
      <c r="I4" s="60">
        <v>45017</v>
      </c>
      <c r="J4" s="60">
        <v>45047</v>
      </c>
      <c r="K4" s="60">
        <v>45078</v>
      </c>
      <c r="L4" s="60">
        <v>45108</v>
      </c>
      <c r="M4" s="60">
        <v>45139</v>
      </c>
      <c r="N4" s="60">
        <v>45170</v>
      </c>
      <c r="O4" s="60">
        <v>45200</v>
      </c>
      <c r="P4" s="60">
        <v>45231</v>
      </c>
      <c r="Q4" s="60">
        <v>45261</v>
      </c>
      <c r="R4" s="57">
        <v>45657</v>
      </c>
      <c r="S4" s="60">
        <v>45292</v>
      </c>
      <c r="T4" s="60">
        <v>45323</v>
      </c>
      <c r="U4" s="60">
        <v>45352</v>
      </c>
      <c r="V4" s="60">
        <v>45383</v>
      </c>
      <c r="W4" s="60">
        <v>45413</v>
      </c>
      <c r="X4" s="60">
        <v>45444</v>
      </c>
      <c r="Y4" s="60">
        <v>45474</v>
      </c>
      <c r="Z4" s="60">
        <v>45505</v>
      </c>
      <c r="AA4" s="60">
        <v>45536</v>
      </c>
      <c r="AB4" s="60">
        <v>45566</v>
      </c>
      <c r="AC4" s="60">
        <v>45597</v>
      </c>
      <c r="AD4" s="60">
        <v>45627</v>
      </c>
      <c r="AE4" s="57">
        <v>46022</v>
      </c>
      <c r="AF4" s="60">
        <v>45658</v>
      </c>
      <c r="AG4" s="60">
        <v>45689</v>
      </c>
      <c r="AH4" s="60">
        <v>45717</v>
      </c>
      <c r="AI4" s="60">
        <v>45748</v>
      </c>
      <c r="AJ4" s="60">
        <v>45778</v>
      </c>
      <c r="AK4" s="60">
        <v>45809</v>
      </c>
      <c r="AL4" s="60">
        <v>45839</v>
      </c>
      <c r="AM4" s="60">
        <v>45870</v>
      </c>
      <c r="AN4" s="60">
        <v>45901</v>
      </c>
      <c r="AO4" s="60">
        <v>45931</v>
      </c>
      <c r="AP4" s="60">
        <v>45962</v>
      </c>
      <c r="AQ4" s="60">
        <v>45992</v>
      </c>
    </row>
    <row r="5" spans="1:43" ht="17.25" outlineLevel="1" x14ac:dyDescent="0.3">
      <c r="A5" s="85" t="s">
        <v>84</v>
      </c>
      <c r="B5" s="33">
        <f>B15</f>
        <v>200000000</v>
      </c>
      <c r="C5" s="4"/>
      <c r="D5" s="86" t="s">
        <v>85</v>
      </c>
      <c r="E5" s="87">
        <f t="shared" ref="E5:E7" si="0">SUM(F5:Q5)</f>
        <v>200000000</v>
      </c>
      <c r="F5" s="33"/>
      <c r="G5" s="33"/>
      <c r="H5" s="33"/>
      <c r="I5" s="33">
        <f>B12</f>
        <v>70000000</v>
      </c>
      <c r="J5" s="33">
        <f>B13</f>
        <v>65000000</v>
      </c>
      <c r="K5" s="33">
        <f>B14</f>
        <v>65000000</v>
      </c>
      <c r="L5" s="33"/>
      <c r="M5" s="33"/>
      <c r="N5" s="33"/>
      <c r="O5" s="33"/>
      <c r="P5" s="33"/>
      <c r="Q5" s="33"/>
      <c r="R5" s="87">
        <f t="shared" ref="R5:R7" si="1">SUM(S5:AD5)</f>
        <v>0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87">
        <f t="shared" ref="AE5:AE7" si="2">SUM(AF5:AQ5)</f>
        <v>0</v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</row>
    <row r="6" spans="1:43" ht="17.25" outlineLevel="1" x14ac:dyDescent="0.3">
      <c r="A6" s="85" t="s">
        <v>86</v>
      </c>
      <c r="B6" s="88">
        <v>0.35</v>
      </c>
      <c r="C6" s="4"/>
      <c r="D6" s="85" t="s">
        <v>87</v>
      </c>
      <c r="E6" s="87">
        <f t="shared" si="0"/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7">
        <f t="shared" si="1"/>
        <v>200000000</v>
      </c>
      <c r="S6" s="33"/>
      <c r="T6" s="33"/>
      <c r="U6" s="33">
        <f t="shared" ref="U6:X6" si="3">H5</f>
        <v>0</v>
      </c>
      <c r="V6" s="33">
        <f t="shared" si="3"/>
        <v>70000000</v>
      </c>
      <c r="W6" s="33">
        <f t="shared" si="3"/>
        <v>65000000</v>
      </c>
      <c r="X6" s="33">
        <f t="shared" si="3"/>
        <v>65000000</v>
      </c>
      <c r="Y6" s="33"/>
      <c r="Z6" s="33">
        <f t="shared" ref="Z6:AA6" si="4">M5</f>
        <v>0</v>
      </c>
      <c r="AA6" s="33">
        <f t="shared" si="4"/>
        <v>0</v>
      </c>
      <c r="AB6" s="33"/>
      <c r="AC6" s="33"/>
      <c r="AD6" s="33">
        <f>Q5</f>
        <v>0</v>
      </c>
      <c r="AE6" s="87">
        <f t="shared" si="2"/>
        <v>0</v>
      </c>
      <c r="AF6" s="33"/>
      <c r="AG6" s="33"/>
      <c r="AH6" s="33">
        <f>U5</f>
        <v>0</v>
      </c>
      <c r="AI6" s="33"/>
      <c r="AJ6" s="33"/>
      <c r="AK6" s="33">
        <f>X5</f>
        <v>0</v>
      </c>
      <c r="AL6" s="33"/>
      <c r="AM6" s="33"/>
      <c r="AN6" s="33">
        <f>AA5</f>
        <v>0</v>
      </c>
      <c r="AO6" s="33"/>
      <c r="AP6" s="33"/>
      <c r="AQ6" s="33">
        <f>AD5</f>
        <v>0</v>
      </c>
    </row>
    <row r="7" spans="1:43" ht="30.75" outlineLevel="1" x14ac:dyDescent="0.3">
      <c r="A7" s="85" t="s">
        <v>88</v>
      </c>
      <c r="B7" s="30" t="s">
        <v>89</v>
      </c>
      <c r="C7" s="4"/>
      <c r="D7" s="85" t="s">
        <v>90</v>
      </c>
      <c r="E7" s="87">
        <f t="shared" si="0"/>
        <v>35000000</v>
      </c>
      <c r="F7" s="33"/>
      <c r="G7" s="33"/>
      <c r="H7" s="33"/>
      <c r="I7" s="33"/>
      <c r="J7" s="33"/>
      <c r="K7" s="33"/>
      <c r="L7" s="33">
        <f>(I5*$B$6/4)</f>
        <v>6125000</v>
      </c>
      <c r="M7" s="33">
        <f>($J$5*$B$6/4)</f>
        <v>5687500</v>
      </c>
      <c r="N7" s="33">
        <f>($K$5*$B$6/4)</f>
        <v>5687500</v>
      </c>
      <c r="O7" s="33">
        <f>(I5*$B$6/4)</f>
        <v>6125000</v>
      </c>
      <c r="P7" s="33">
        <f>($J$5*$B$6/4)</f>
        <v>5687500</v>
      </c>
      <c r="Q7" s="33">
        <f>($K$5*$B$6/4)</f>
        <v>5687500</v>
      </c>
      <c r="R7" s="87">
        <f t="shared" si="1"/>
        <v>35000000</v>
      </c>
      <c r="S7" s="33">
        <f>(I5*$B$6/4)</f>
        <v>6125000</v>
      </c>
      <c r="T7" s="33">
        <f>($J$5*$B$6/4)</f>
        <v>5687500</v>
      </c>
      <c r="U7" s="33">
        <f>($K$5*$B$6/4)</f>
        <v>5687500</v>
      </c>
      <c r="V7" s="33">
        <f>(I5*$B$6/4)</f>
        <v>6125000</v>
      </c>
      <c r="W7" s="33">
        <f>($J$5*$B$6/4)</f>
        <v>5687500</v>
      </c>
      <c r="X7" s="33">
        <f>($K$5*$B$6/4)</f>
        <v>5687500</v>
      </c>
      <c r="Y7" s="33"/>
      <c r="Z7" s="33"/>
      <c r="AA7" s="33"/>
      <c r="AB7" s="33"/>
      <c r="AC7" s="33"/>
      <c r="AD7" s="33"/>
      <c r="AE7" s="87">
        <f t="shared" si="2"/>
        <v>0</v>
      </c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3" ht="17.25" outlineLevel="1" x14ac:dyDescent="0.3">
      <c r="A8" s="85" t="s">
        <v>91</v>
      </c>
      <c r="B8" s="30" t="s">
        <v>92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7.25" outlineLevel="1" x14ac:dyDescent="0.15">
      <c r="A9" s="19"/>
      <c r="B9" s="1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" customHeight="1" outlineLevel="1" x14ac:dyDescent="0.15">
      <c r="A10" s="165" t="s">
        <v>93</v>
      </c>
      <c r="B10" s="16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8.75" outlineLevel="1" x14ac:dyDescent="0.4">
      <c r="A11" s="84" t="s">
        <v>94</v>
      </c>
      <c r="B11" s="84" t="s">
        <v>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7.25" outlineLevel="1" x14ac:dyDescent="0.3">
      <c r="A12" s="85" t="s">
        <v>95</v>
      </c>
      <c r="B12" s="33">
        <v>70000000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7.25" outlineLevel="1" x14ac:dyDescent="0.3">
      <c r="A13" s="85" t="s">
        <v>96</v>
      </c>
      <c r="B13" s="33">
        <v>65000000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7.25" outlineLevel="1" x14ac:dyDescent="0.3">
      <c r="A14" s="85" t="s">
        <v>97</v>
      </c>
      <c r="B14" s="33">
        <v>65000000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1" outlineLevel="1" x14ac:dyDescent="0.4">
      <c r="A15" s="84" t="s">
        <v>98</v>
      </c>
      <c r="B15" s="89">
        <f>SUM(B12:B14)</f>
        <v>200000000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7.25" outlineLevel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7.25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17.25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17.25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17.25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ht="17.25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17.25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7.25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7.25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7.25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7.25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7.25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7.25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7.25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7.25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7.25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7.25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7.25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7.25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7.25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7.25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7.25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7.25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7.25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7.25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7.25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7.25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17.25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7.25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7.25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ht="17.25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17.25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17.25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1:43" ht="17.25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3" ht="17.25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1:43" ht="17.25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:43" ht="17.25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1:43" ht="17.25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ht="17.25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1:43" ht="17.25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3" ht="17.25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ht="17.25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ht="17.25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 ht="17.25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ht="17.25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 ht="17.25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 ht="17.25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 ht="17.25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ht="17.25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ht="17.25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ht="17.25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ht="17.25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ht="17.25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ht="17.25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ht="17.25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ht="17.25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ht="17.25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ht="17.25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ht="17.25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ht="17.25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ht="17.25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ht="17.25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ht="17.25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ht="17.25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ht="17.25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ht="17.25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ht="17.25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ht="17.25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ht="17.25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ht="17.25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ht="17.25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ht="17.25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ht="17.25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ht="17.25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ht="17.25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ht="17.25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ht="17.25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1:43" ht="17.25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43" ht="17.25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1:43" ht="17.25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43" ht="17.25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1:43" ht="17.25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 ht="17.25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 ht="17.25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 ht="17.25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</row>
    <row r="101" spans="1:43" ht="17.25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 ht="17.25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1:43" ht="17.25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  <row r="104" spans="1:43" ht="17.25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</row>
    <row r="105" spans="1:43" ht="17.25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</row>
    <row r="106" spans="1:43" ht="17.25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</row>
    <row r="107" spans="1:43" ht="17.25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</row>
    <row r="108" spans="1:43" ht="17.25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</row>
    <row r="109" spans="1:43" ht="17.25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</row>
    <row r="110" spans="1:43" ht="17.25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</row>
    <row r="111" spans="1:43" ht="17.25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</row>
    <row r="112" spans="1:43" ht="17.25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</row>
    <row r="113" spans="1:43" ht="17.25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</row>
    <row r="114" spans="1:43" ht="17.25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</row>
    <row r="115" spans="1:43" ht="17.25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</row>
    <row r="116" spans="1:43" ht="17.25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</row>
    <row r="117" spans="1:43" ht="17.25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</row>
    <row r="118" spans="1:43" ht="17.25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</row>
    <row r="119" spans="1:43" ht="17.25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</row>
    <row r="120" spans="1:43" ht="17.25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</row>
    <row r="121" spans="1:43" ht="17.25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</row>
    <row r="122" spans="1:43" ht="17.25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</row>
    <row r="123" spans="1:43" ht="17.25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</row>
    <row r="124" spans="1:43" ht="17.25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1:43" ht="17.25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1:43" ht="17.25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1:43" ht="17.25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</row>
    <row r="128" spans="1:43" ht="17.25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1:43" ht="17.25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ht="17.25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</row>
    <row r="131" spans="1:43" ht="17.25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1:43" ht="17.25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ht="17.25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ht="17.25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ht="17.25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ht="17.25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ht="17.25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</row>
    <row r="138" spans="1:43" ht="17.25" x14ac:dyDescent="0.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</row>
    <row r="139" spans="1:43" ht="17.25" x14ac:dyDescent="0.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</row>
    <row r="140" spans="1:43" ht="17.25" x14ac:dyDescent="0.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</row>
    <row r="141" spans="1:43" ht="17.25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</row>
    <row r="142" spans="1:43" ht="17.25" x14ac:dyDescent="0.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</row>
    <row r="143" spans="1:43" ht="17.25" x14ac:dyDescent="0.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</row>
    <row r="144" spans="1:43" ht="17.25" x14ac:dyDescent="0.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</row>
    <row r="145" spans="1:43" ht="17.25" x14ac:dyDescent="0.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</row>
    <row r="146" spans="1:43" ht="17.25" x14ac:dyDescent="0.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</row>
    <row r="147" spans="1:43" ht="17.25" x14ac:dyDescent="0.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</row>
    <row r="148" spans="1:43" ht="17.25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49" spans="1:43" ht="17.25" x14ac:dyDescent="0.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</row>
    <row r="150" spans="1:43" ht="17.25" x14ac:dyDescent="0.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</row>
    <row r="151" spans="1:43" ht="17.25" x14ac:dyDescent="0.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</row>
    <row r="152" spans="1:43" ht="17.25" x14ac:dyDescent="0.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</row>
    <row r="153" spans="1:43" ht="17.25" x14ac:dyDescent="0.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</row>
    <row r="154" spans="1:43" ht="17.25" x14ac:dyDescent="0.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</row>
    <row r="155" spans="1:43" ht="17.25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</row>
    <row r="156" spans="1:43" ht="17.25" x14ac:dyDescent="0.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</row>
    <row r="157" spans="1:43" ht="17.25" x14ac:dyDescent="0.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</row>
    <row r="158" spans="1:43" ht="17.25" x14ac:dyDescent="0.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</row>
    <row r="159" spans="1:43" ht="17.25" x14ac:dyDescent="0.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</row>
    <row r="160" spans="1:43" ht="17.25" x14ac:dyDescent="0.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</row>
    <row r="161" spans="1:43" ht="17.25" x14ac:dyDescent="0.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</row>
    <row r="162" spans="1:43" ht="17.25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</row>
    <row r="163" spans="1:43" ht="17.25" x14ac:dyDescent="0.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</row>
    <row r="164" spans="1:43" ht="17.25" x14ac:dyDescent="0.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</row>
    <row r="165" spans="1:43" ht="17.25" x14ac:dyDescent="0.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</row>
    <row r="166" spans="1:43" ht="17.25" x14ac:dyDescent="0.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</row>
    <row r="167" spans="1:43" ht="17.25" x14ac:dyDescent="0.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</row>
    <row r="168" spans="1:43" ht="17.25" x14ac:dyDescent="0.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</row>
    <row r="169" spans="1:43" ht="17.25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</row>
    <row r="170" spans="1:43" ht="17.25" x14ac:dyDescent="0.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</row>
    <row r="171" spans="1:43" ht="17.25" x14ac:dyDescent="0.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</row>
    <row r="172" spans="1:43" ht="17.25" x14ac:dyDescent="0.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</row>
    <row r="173" spans="1:43" ht="17.25" x14ac:dyDescent="0.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</row>
    <row r="174" spans="1:43" ht="17.25" x14ac:dyDescent="0.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</row>
    <row r="175" spans="1:43" ht="17.25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</row>
    <row r="176" spans="1:43" ht="17.25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</row>
    <row r="177" spans="1:43" ht="17.25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</row>
    <row r="178" spans="1:43" ht="17.25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</row>
    <row r="179" spans="1:43" ht="17.25" x14ac:dyDescent="0.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</row>
    <row r="180" spans="1:43" ht="17.25" x14ac:dyDescent="0.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</row>
    <row r="181" spans="1:43" ht="17.25" x14ac:dyDescent="0.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</row>
    <row r="182" spans="1:43" ht="17.25" x14ac:dyDescent="0.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</row>
    <row r="183" spans="1:43" ht="17.25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</row>
    <row r="184" spans="1:43" ht="17.25" x14ac:dyDescent="0.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</row>
    <row r="185" spans="1:43" ht="17.25" x14ac:dyDescent="0.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</row>
    <row r="186" spans="1:43" ht="17.25" x14ac:dyDescent="0.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</row>
    <row r="187" spans="1:43" ht="17.25" x14ac:dyDescent="0.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</row>
    <row r="188" spans="1:43" ht="17.25" x14ac:dyDescent="0.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</row>
    <row r="189" spans="1:43" ht="17.25" x14ac:dyDescent="0.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</row>
    <row r="190" spans="1:43" ht="17.25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</row>
    <row r="191" spans="1:43" ht="17.25" x14ac:dyDescent="0.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</row>
    <row r="192" spans="1:43" ht="17.25" x14ac:dyDescent="0.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</row>
    <row r="193" spans="1:43" ht="17.25" x14ac:dyDescent="0.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</row>
    <row r="194" spans="1:43" ht="17.25" x14ac:dyDescent="0.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</row>
    <row r="195" spans="1:43" ht="17.25" x14ac:dyDescent="0.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</row>
    <row r="196" spans="1:43" ht="17.25" x14ac:dyDescent="0.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</row>
    <row r="197" spans="1:43" ht="17.25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</row>
    <row r="198" spans="1:43" ht="17.25" x14ac:dyDescent="0.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</row>
    <row r="199" spans="1:43" ht="17.25" x14ac:dyDescent="0.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</row>
    <row r="200" spans="1:43" ht="17.25" x14ac:dyDescent="0.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</row>
    <row r="201" spans="1:43" ht="17.25" x14ac:dyDescent="0.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</row>
    <row r="202" spans="1:43" ht="17.25" x14ac:dyDescent="0.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</row>
    <row r="203" spans="1:43" ht="17.25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</row>
    <row r="204" spans="1:43" ht="17.25" x14ac:dyDescent="0.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</row>
    <row r="205" spans="1:43" ht="17.25" x14ac:dyDescent="0.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</row>
    <row r="206" spans="1:43" ht="17.25" x14ac:dyDescent="0.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</row>
    <row r="207" spans="1:43" ht="17.25" x14ac:dyDescent="0.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</row>
    <row r="208" spans="1:43" ht="17.25" x14ac:dyDescent="0.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</row>
    <row r="209" spans="1:43" ht="17.25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</row>
    <row r="210" spans="1:43" ht="17.25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</row>
    <row r="211" spans="1:43" ht="17.25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</row>
    <row r="212" spans="1:43" ht="17.25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</row>
    <row r="213" spans="1:43" ht="17.25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</row>
    <row r="214" spans="1:43" ht="17.25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</row>
    <row r="215" spans="1:43" ht="17.25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</row>
    <row r="216" spans="1:43" ht="17.25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</row>
    <row r="217" spans="1:43" ht="17.25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</row>
    <row r="218" spans="1:43" ht="17.25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</row>
    <row r="219" spans="1:43" ht="17.25" x14ac:dyDescent="0.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</row>
    <row r="220" spans="1:43" ht="17.25" x14ac:dyDescent="0.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</row>
    <row r="221" spans="1:43" ht="17.25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</row>
    <row r="222" spans="1:43" ht="17.25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</row>
    <row r="223" spans="1:43" ht="17.25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</row>
    <row r="224" spans="1:43" ht="17.25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</row>
    <row r="225" spans="1:43" ht="17.25" x14ac:dyDescent="0.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</row>
    <row r="226" spans="1:43" ht="17.25" x14ac:dyDescent="0.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</row>
    <row r="227" spans="1:43" ht="17.25" x14ac:dyDescent="0.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</row>
    <row r="228" spans="1:43" ht="17.25" x14ac:dyDescent="0.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</row>
    <row r="229" spans="1:43" ht="17.25" x14ac:dyDescent="0.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</row>
    <row r="230" spans="1:43" ht="17.25" x14ac:dyDescent="0.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</row>
    <row r="231" spans="1:43" ht="17.25" x14ac:dyDescent="0.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</row>
    <row r="232" spans="1:43" ht="17.25" x14ac:dyDescent="0.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</row>
    <row r="233" spans="1:43" ht="17.25" x14ac:dyDescent="0.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</row>
    <row r="234" spans="1:43" ht="17.25" x14ac:dyDescent="0.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</row>
    <row r="235" spans="1:43" ht="17.25" x14ac:dyDescent="0.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</row>
    <row r="236" spans="1:43" ht="17.25" x14ac:dyDescent="0.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</row>
    <row r="237" spans="1:43" ht="17.25" x14ac:dyDescent="0.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</row>
    <row r="238" spans="1:43" ht="17.25" x14ac:dyDescent="0.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</row>
    <row r="239" spans="1:43" ht="17.25" x14ac:dyDescent="0.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</row>
    <row r="240" spans="1:43" ht="17.25" x14ac:dyDescent="0.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</row>
    <row r="241" spans="1:43" ht="17.25" x14ac:dyDescent="0.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</row>
    <row r="242" spans="1:43" ht="17.25" x14ac:dyDescent="0.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</row>
    <row r="243" spans="1:43" ht="17.25" x14ac:dyDescent="0.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</row>
    <row r="244" spans="1:43" ht="17.25" x14ac:dyDescent="0.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</row>
    <row r="245" spans="1:43" ht="17.25" x14ac:dyDescent="0.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</row>
    <row r="246" spans="1:43" ht="17.25" x14ac:dyDescent="0.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</row>
    <row r="247" spans="1:43" ht="17.25" x14ac:dyDescent="0.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</row>
    <row r="248" spans="1:43" ht="17.25" x14ac:dyDescent="0.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</row>
    <row r="249" spans="1:43" ht="17.25" x14ac:dyDescent="0.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</row>
    <row r="250" spans="1:43" ht="17.25" x14ac:dyDescent="0.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</row>
    <row r="251" spans="1:43" ht="17.25" x14ac:dyDescent="0.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</row>
    <row r="252" spans="1:43" ht="17.25" x14ac:dyDescent="0.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</row>
    <row r="253" spans="1:43" ht="17.25" x14ac:dyDescent="0.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</row>
    <row r="254" spans="1:43" ht="17.25" x14ac:dyDescent="0.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</row>
    <row r="255" spans="1:43" ht="17.25" x14ac:dyDescent="0.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</row>
    <row r="256" spans="1:43" ht="17.25" x14ac:dyDescent="0.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</row>
    <row r="257" spans="1:43" ht="17.25" x14ac:dyDescent="0.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</row>
    <row r="258" spans="1:43" ht="17.25" x14ac:dyDescent="0.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</row>
    <row r="259" spans="1:43" ht="17.25" x14ac:dyDescent="0.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</row>
    <row r="260" spans="1:43" ht="17.25" x14ac:dyDescent="0.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</row>
    <row r="261" spans="1:43" ht="17.25" x14ac:dyDescent="0.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</row>
    <row r="262" spans="1:43" ht="17.25" x14ac:dyDescent="0.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</row>
    <row r="263" spans="1:43" ht="17.25" x14ac:dyDescent="0.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</row>
    <row r="264" spans="1:43" ht="17.25" x14ac:dyDescent="0.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</row>
    <row r="265" spans="1:43" ht="17.25" x14ac:dyDescent="0.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</row>
    <row r="266" spans="1:43" ht="17.25" x14ac:dyDescent="0.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</row>
    <row r="267" spans="1:43" ht="17.25" x14ac:dyDescent="0.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</row>
    <row r="268" spans="1:43" ht="17.25" x14ac:dyDescent="0.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</row>
    <row r="269" spans="1:43" ht="17.25" x14ac:dyDescent="0.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</row>
    <row r="270" spans="1:43" ht="17.25" x14ac:dyDescent="0.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</row>
    <row r="271" spans="1:43" ht="17.25" x14ac:dyDescent="0.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</row>
    <row r="272" spans="1:43" ht="17.25" x14ac:dyDescent="0.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</row>
    <row r="273" spans="1:43" ht="17.25" x14ac:dyDescent="0.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</row>
    <row r="274" spans="1:43" ht="17.25" x14ac:dyDescent="0.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</row>
    <row r="275" spans="1:43" ht="17.25" x14ac:dyDescent="0.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</row>
    <row r="276" spans="1:43" ht="17.25" x14ac:dyDescent="0.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</row>
    <row r="277" spans="1:43" ht="17.25" x14ac:dyDescent="0.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</row>
    <row r="278" spans="1:43" ht="17.25" x14ac:dyDescent="0.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</row>
    <row r="279" spans="1:43" ht="17.25" x14ac:dyDescent="0.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</row>
    <row r="280" spans="1:43" ht="17.25" x14ac:dyDescent="0.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</row>
    <row r="281" spans="1:43" ht="17.25" x14ac:dyDescent="0.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</row>
    <row r="282" spans="1:43" ht="17.25" x14ac:dyDescent="0.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</row>
    <row r="283" spans="1:43" ht="17.25" x14ac:dyDescent="0.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</row>
    <row r="284" spans="1:43" ht="17.25" x14ac:dyDescent="0.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</row>
    <row r="285" spans="1:43" ht="17.25" x14ac:dyDescent="0.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</row>
    <row r="286" spans="1:43" ht="17.25" x14ac:dyDescent="0.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</row>
    <row r="287" spans="1:43" ht="17.25" x14ac:dyDescent="0.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</row>
    <row r="288" spans="1:43" ht="17.25" x14ac:dyDescent="0.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</row>
    <row r="289" spans="1:43" ht="17.25" x14ac:dyDescent="0.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</row>
    <row r="290" spans="1:43" ht="17.25" x14ac:dyDescent="0.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</row>
    <row r="291" spans="1:43" ht="17.25" x14ac:dyDescent="0.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</row>
    <row r="292" spans="1:43" ht="17.25" x14ac:dyDescent="0.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</row>
    <row r="293" spans="1:43" ht="17.25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</row>
    <row r="294" spans="1:43" ht="17.25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</row>
    <row r="295" spans="1:43" ht="17.25" x14ac:dyDescent="0.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</row>
    <row r="296" spans="1:43" ht="17.25" x14ac:dyDescent="0.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</row>
    <row r="297" spans="1:43" ht="17.25" x14ac:dyDescent="0.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</row>
    <row r="298" spans="1:43" ht="17.25" x14ac:dyDescent="0.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</row>
    <row r="299" spans="1:43" ht="17.25" x14ac:dyDescent="0.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</row>
    <row r="300" spans="1:43" ht="17.25" x14ac:dyDescent="0.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</row>
    <row r="301" spans="1:43" ht="17.25" x14ac:dyDescent="0.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</row>
    <row r="302" spans="1:43" ht="17.25" x14ac:dyDescent="0.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</row>
    <row r="303" spans="1:43" ht="17.25" x14ac:dyDescent="0.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</row>
    <row r="304" spans="1:43" ht="17.25" x14ac:dyDescent="0.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</row>
    <row r="305" spans="1:43" ht="17.25" x14ac:dyDescent="0.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</row>
    <row r="306" spans="1:43" ht="17.25" x14ac:dyDescent="0.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</row>
    <row r="307" spans="1:43" ht="17.25" x14ac:dyDescent="0.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</row>
    <row r="308" spans="1:43" ht="17.25" x14ac:dyDescent="0.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</row>
    <row r="309" spans="1:43" ht="17.25" x14ac:dyDescent="0.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</row>
    <row r="310" spans="1:43" ht="17.25" x14ac:dyDescent="0.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</row>
    <row r="311" spans="1:43" ht="17.25" x14ac:dyDescent="0.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</row>
    <row r="312" spans="1:43" ht="17.25" x14ac:dyDescent="0.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</row>
    <row r="313" spans="1:43" ht="17.25" x14ac:dyDescent="0.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</row>
    <row r="314" spans="1:43" ht="17.25" x14ac:dyDescent="0.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</row>
    <row r="315" spans="1:43" ht="17.25" x14ac:dyDescent="0.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</row>
    <row r="316" spans="1:43" ht="17.25" x14ac:dyDescent="0.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</row>
    <row r="317" spans="1:43" ht="17.25" x14ac:dyDescent="0.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</row>
    <row r="318" spans="1:43" ht="17.25" x14ac:dyDescent="0.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</row>
    <row r="319" spans="1:43" ht="17.25" x14ac:dyDescent="0.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</row>
    <row r="320" spans="1:43" ht="17.25" x14ac:dyDescent="0.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</row>
    <row r="321" spans="1:43" ht="17.25" x14ac:dyDescent="0.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</row>
    <row r="322" spans="1:43" ht="17.25" x14ac:dyDescent="0.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</row>
    <row r="323" spans="1:43" ht="17.25" x14ac:dyDescent="0.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</row>
    <row r="324" spans="1:43" ht="17.25" x14ac:dyDescent="0.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</row>
    <row r="325" spans="1:43" ht="17.25" x14ac:dyDescent="0.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</row>
    <row r="326" spans="1:43" ht="17.25" x14ac:dyDescent="0.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</row>
    <row r="327" spans="1:43" ht="17.25" x14ac:dyDescent="0.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</row>
    <row r="328" spans="1:43" ht="17.25" x14ac:dyDescent="0.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</row>
    <row r="329" spans="1:43" ht="17.25" x14ac:dyDescent="0.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</row>
    <row r="330" spans="1:43" ht="17.25" x14ac:dyDescent="0.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</row>
    <row r="331" spans="1:43" ht="17.25" x14ac:dyDescent="0.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</row>
    <row r="332" spans="1:43" ht="17.25" x14ac:dyDescent="0.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</row>
    <row r="333" spans="1:43" ht="17.25" x14ac:dyDescent="0.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</row>
    <row r="334" spans="1:43" ht="17.25" x14ac:dyDescent="0.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</row>
    <row r="335" spans="1:43" ht="17.25" x14ac:dyDescent="0.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</row>
    <row r="336" spans="1:43" ht="17.25" x14ac:dyDescent="0.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</row>
    <row r="337" spans="1:43" ht="17.25" x14ac:dyDescent="0.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</row>
    <row r="338" spans="1:43" ht="17.25" x14ac:dyDescent="0.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</row>
    <row r="339" spans="1:43" ht="17.25" x14ac:dyDescent="0.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</row>
    <row r="340" spans="1:43" ht="17.25" x14ac:dyDescent="0.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</row>
    <row r="341" spans="1:43" ht="17.25" x14ac:dyDescent="0.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</row>
    <row r="342" spans="1:43" ht="17.25" x14ac:dyDescent="0.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</row>
    <row r="343" spans="1:43" ht="17.25" x14ac:dyDescent="0.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</row>
    <row r="344" spans="1:43" ht="17.25" x14ac:dyDescent="0.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</row>
    <row r="345" spans="1:43" ht="17.25" x14ac:dyDescent="0.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</row>
    <row r="346" spans="1:43" ht="17.25" x14ac:dyDescent="0.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</row>
    <row r="347" spans="1:43" ht="17.25" x14ac:dyDescent="0.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</row>
    <row r="348" spans="1:43" ht="17.25" x14ac:dyDescent="0.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</row>
    <row r="349" spans="1:43" ht="17.25" x14ac:dyDescent="0.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</row>
    <row r="350" spans="1:43" ht="17.25" x14ac:dyDescent="0.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</row>
    <row r="351" spans="1:43" ht="17.25" x14ac:dyDescent="0.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</row>
    <row r="352" spans="1:43" ht="17.25" x14ac:dyDescent="0.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</row>
    <row r="353" spans="1:43" ht="17.25" x14ac:dyDescent="0.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ht="17.25" x14ac:dyDescent="0.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</row>
    <row r="355" spans="1:43" ht="17.25" x14ac:dyDescent="0.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</row>
    <row r="356" spans="1:43" ht="17.25" x14ac:dyDescent="0.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</row>
    <row r="357" spans="1:43" ht="17.25" x14ac:dyDescent="0.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</row>
    <row r="358" spans="1:43" ht="17.25" x14ac:dyDescent="0.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</row>
    <row r="359" spans="1:43" ht="17.25" x14ac:dyDescent="0.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</row>
    <row r="360" spans="1:43" ht="17.25" x14ac:dyDescent="0.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:43" ht="17.25" x14ac:dyDescent="0.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</row>
    <row r="362" spans="1:43" ht="17.25" x14ac:dyDescent="0.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</row>
    <row r="363" spans="1:43" ht="17.25" x14ac:dyDescent="0.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</row>
    <row r="364" spans="1:43" ht="17.25" x14ac:dyDescent="0.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</row>
    <row r="365" spans="1:43" ht="17.25" x14ac:dyDescent="0.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</row>
    <row r="366" spans="1:43" ht="17.25" x14ac:dyDescent="0.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</row>
    <row r="367" spans="1:43" ht="17.25" x14ac:dyDescent="0.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</row>
    <row r="368" spans="1:43" ht="17.25" x14ac:dyDescent="0.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</row>
    <row r="369" spans="1:43" ht="17.25" x14ac:dyDescent="0.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</row>
    <row r="370" spans="1:43" ht="17.25" x14ac:dyDescent="0.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</row>
    <row r="371" spans="1:43" ht="17.25" x14ac:dyDescent="0.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</row>
    <row r="372" spans="1:43" ht="17.25" x14ac:dyDescent="0.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</row>
    <row r="373" spans="1:43" ht="17.25" x14ac:dyDescent="0.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</row>
    <row r="374" spans="1:43" ht="17.25" x14ac:dyDescent="0.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</row>
    <row r="375" spans="1:43" ht="17.25" x14ac:dyDescent="0.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</row>
    <row r="376" spans="1:43" ht="17.25" x14ac:dyDescent="0.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</row>
    <row r="377" spans="1:43" ht="17.25" x14ac:dyDescent="0.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</row>
    <row r="378" spans="1:43" ht="17.25" x14ac:dyDescent="0.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</row>
    <row r="379" spans="1:43" ht="17.25" x14ac:dyDescent="0.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</row>
    <row r="380" spans="1:43" ht="17.25" x14ac:dyDescent="0.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</row>
    <row r="381" spans="1:43" ht="17.25" x14ac:dyDescent="0.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</row>
    <row r="382" spans="1:43" ht="17.25" x14ac:dyDescent="0.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</row>
    <row r="383" spans="1:43" ht="17.25" x14ac:dyDescent="0.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</row>
    <row r="384" spans="1:43" ht="17.25" x14ac:dyDescent="0.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</row>
    <row r="385" spans="1:43" ht="17.25" x14ac:dyDescent="0.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</row>
    <row r="386" spans="1:43" ht="17.25" x14ac:dyDescent="0.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</row>
    <row r="387" spans="1:43" ht="17.25" x14ac:dyDescent="0.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</row>
    <row r="388" spans="1:43" ht="17.25" x14ac:dyDescent="0.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</row>
    <row r="389" spans="1:43" ht="17.25" x14ac:dyDescent="0.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</row>
    <row r="390" spans="1:43" ht="17.25" x14ac:dyDescent="0.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</row>
    <row r="391" spans="1:43" ht="17.25" x14ac:dyDescent="0.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</row>
    <row r="392" spans="1:43" ht="17.25" x14ac:dyDescent="0.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</row>
    <row r="393" spans="1:43" ht="17.25" x14ac:dyDescent="0.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</row>
    <row r="394" spans="1:43" ht="17.25" x14ac:dyDescent="0.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</row>
    <row r="395" spans="1:43" ht="17.25" x14ac:dyDescent="0.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</row>
    <row r="396" spans="1:43" ht="17.25" x14ac:dyDescent="0.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</row>
    <row r="397" spans="1:43" ht="17.25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</row>
    <row r="398" spans="1:43" ht="17.25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</row>
    <row r="399" spans="1:43" ht="17.25" x14ac:dyDescent="0.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</row>
    <row r="400" spans="1:43" ht="17.25" x14ac:dyDescent="0.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</row>
    <row r="401" spans="1:43" ht="17.25" x14ac:dyDescent="0.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</row>
    <row r="402" spans="1:43" ht="17.25" x14ac:dyDescent="0.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</row>
    <row r="403" spans="1:43" ht="17.25" x14ac:dyDescent="0.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</row>
    <row r="404" spans="1:43" ht="17.25" x14ac:dyDescent="0.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</row>
    <row r="405" spans="1:43" ht="17.25" x14ac:dyDescent="0.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</row>
    <row r="406" spans="1:43" ht="17.25" x14ac:dyDescent="0.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</row>
    <row r="407" spans="1:43" ht="17.25" x14ac:dyDescent="0.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</row>
    <row r="408" spans="1:43" ht="17.25" x14ac:dyDescent="0.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</row>
    <row r="409" spans="1:43" ht="17.25" x14ac:dyDescent="0.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</row>
    <row r="410" spans="1:43" ht="17.25" x14ac:dyDescent="0.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</row>
    <row r="411" spans="1:43" ht="17.25" x14ac:dyDescent="0.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</row>
    <row r="412" spans="1:43" ht="17.25" x14ac:dyDescent="0.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</row>
    <row r="413" spans="1:43" ht="17.25" x14ac:dyDescent="0.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</row>
    <row r="414" spans="1:43" ht="17.25" x14ac:dyDescent="0.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</row>
    <row r="415" spans="1:43" ht="17.25" x14ac:dyDescent="0.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</row>
    <row r="416" spans="1:43" ht="17.25" x14ac:dyDescent="0.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</row>
    <row r="417" spans="1:43" ht="17.25" x14ac:dyDescent="0.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</row>
    <row r="418" spans="1:43" ht="17.25" x14ac:dyDescent="0.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</row>
    <row r="419" spans="1:43" ht="17.25" x14ac:dyDescent="0.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</row>
    <row r="420" spans="1:43" ht="17.25" x14ac:dyDescent="0.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</row>
    <row r="421" spans="1:43" ht="17.25" x14ac:dyDescent="0.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</row>
    <row r="422" spans="1:43" ht="17.25" x14ac:dyDescent="0.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</row>
    <row r="423" spans="1:43" ht="17.25" x14ac:dyDescent="0.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</row>
    <row r="424" spans="1:43" ht="17.25" x14ac:dyDescent="0.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</row>
    <row r="425" spans="1:43" ht="17.25" x14ac:dyDescent="0.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</row>
    <row r="426" spans="1:43" ht="17.25" x14ac:dyDescent="0.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</row>
    <row r="427" spans="1:43" ht="17.25" x14ac:dyDescent="0.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</row>
    <row r="428" spans="1:43" ht="17.25" x14ac:dyDescent="0.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</row>
    <row r="429" spans="1:43" ht="17.25" x14ac:dyDescent="0.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</row>
    <row r="430" spans="1:43" ht="17.25" x14ac:dyDescent="0.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</row>
    <row r="431" spans="1:43" ht="17.25" x14ac:dyDescent="0.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</row>
    <row r="432" spans="1:43" ht="17.25" x14ac:dyDescent="0.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</row>
    <row r="433" spans="1:43" ht="17.25" x14ac:dyDescent="0.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</row>
    <row r="434" spans="1:43" ht="17.25" x14ac:dyDescent="0.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</row>
    <row r="435" spans="1:43" ht="17.25" x14ac:dyDescent="0.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</row>
    <row r="436" spans="1:43" ht="17.25" x14ac:dyDescent="0.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</row>
    <row r="437" spans="1:43" ht="17.25" x14ac:dyDescent="0.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</row>
    <row r="438" spans="1:43" ht="17.25" x14ac:dyDescent="0.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</row>
    <row r="439" spans="1:43" ht="17.25" x14ac:dyDescent="0.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</row>
    <row r="440" spans="1:43" ht="17.25" x14ac:dyDescent="0.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</row>
    <row r="441" spans="1:43" ht="17.25" x14ac:dyDescent="0.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</row>
    <row r="442" spans="1:43" ht="17.25" x14ac:dyDescent="0.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</row>
    <row r="443" spans="1:43" ht="17.25" x14ac:dyDescent="0.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</row>
    <row r="444" spans="1:43" ht="17.25" x14ac:dyDescent="0.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</row>
    <row r="445" spans="1:43" ht="17.25" x14ac:dyDescent="0.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</row>
    <row r="446" spans="1:43" ht="17.25" x14ac:dyDescent="0.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</row>
    <row r="447" spans="1:43" ht="17.25" x14ac:dyDescent="0.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</row>
    <row r="448" spans="1:43" ht="17.25" x14ac:dyDescent="0.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</row>
    <row r="449" spans="1:43" ht="17.25" x14ac:dyDescent="0.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</row>
    <row r="450" spans="1:43" ht="17.25" x14ac:dyDescent="0.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</row>
    <row r="451" spans="1:43" ht="17.25" x14ac:dyDescent="0.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</row>
    <row r="452" spans="1:43" ht="17.25" x14ac:dyDescent="0.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</row>
    <row r="453" spans="1:43" ht="17.25" x14ac:dyDescent="0.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</row>
    <row r="454" spans="1:43" ht="17.25" x14ac:dyDescent="0.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</row>
    <row r="455" spans="1:43" ht="17.25" x14ac:dyDescent="0.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</row>
    <row r="456" spans="1:43" ht="17.25" x14ac:dyDescent="0.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</row>
    <row r="457" spans="1:43" ht="17.25" x14ac:dyDescent="0.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</row>
    <row r="458" spans="1:43" ht="17.25" x14ac:dyDescent="0.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</row>
    <row r="459" spans="1:43" ht="17.25" x14ac:dyDescent="0.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</row>
    <row r="460" spans="1:43" ht="17.25" x14ac:dyDescent="0.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</row>
    <row r="461" spans="1:43" ht="17.25" x14ac:dyDescent="0.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</row>
    <row r="462" spans="1:43" ht="17.25" x14ac:dyDescent="0.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</row>
    <row r="463" spans="1:43" ht="17.25" x14ac:dyDescent="0.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</row>
    <row r="464" spans="1:43" ht="17.25" x14ac:dyDescent="0.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</row>
    <row r="465" spans="1:43" ht="17.25" x14ac:dyDescent="0.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</row>
    <row r="466" spans="1:43" ht="17.25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</row>
    <row r="467" spans="1:43" ht="17.25" x14ac:dyDescent="0.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</row>
    <row r="468" spans="1:43" ht="17.25" x14ac:dyDescent="0.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</row>
    <row r="469" spans="1:43" ht="17.25" x14ac:dyDescent="0.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</row>
    <row r="470" spans="1:43" ht="17.25" x14ac:dyDescent="0.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</row>
    <row r="471" spans="1:43" ht="17.25" x14ac:dyDescent="0.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</row>
    <row r="472" spans="1:43" ht="17.25" x14ac:dyDescent="0.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</row>
    <row r="473" spans="1:43" ht="17.25" x14ac:dyDescent="0.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</row>
    <row r="474" spans="1:43" ht="17.25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</row>
    <row r="475" spans="1:43" ht="17.25" x14ac:dyDescent="0.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</row>
    <row r="476" spans="1:43" ht="17.25" x14ac:dyDescent="0.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</row>
    <row r="477" spans="1:43" ht="17.25" x14ac:dyDescent="0.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</row>
    <row r="478" spans="1:43" ht="17.25" x14ac:dyDescent="0.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</row>
    <row r="479" spans="1:43" ht="17.25" x14ac:dyDescent="0.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</row>
    <row r="480" spans="1:43" ht="17.25" x14ac:dyDescent="0.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</row>
    <row r="481" spans="1:43" ht="17.25" x14ac:dyDescent="0.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</row>
    <row r="482" spans="1:43" ht="17.25" x14ac:dyDescent="0.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</row>
    <row r="483" spans="1:43" ht="17.25" x14ac:dyDescent="0.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</row>
    <row r="484" spans="1:43" ht="17.25" x14ac:dyDescent="0.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</row>
    <row r="485" spans="1:43" ht="17.25" x14ac:dyDescent="0.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</row>
    <row r="486" spans="1:43" ht="17.25" x14ac:dyDescent="0.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</row>
    <row r="487" spans="1:43" ht="17.25" x14ac:dyDescent="0.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</row>
    <row r="488" spans="1:43" ht="17.25" x14ac:dyDescent="0.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</row>
    <row r="489" spans="1:43" ht="17.25" x14ac:dyDescent="0.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</row>
    <row r="490" spans="1:43" ht="17.25" x14ac:dyDescent="0.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</row>
    <row r="491" spans="1:43" ht="17.25" x14ac:dyDescent="0.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</row>
    <row r="492" spans="1:43" ht="17.25" x14ac:dyDescent="0.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</row>
    <row r="493" spans="1:43" ht="17.25" x14ac:dyDescent="0.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</row>
    <row r="494" spans="1:43" ht="17.25" x14ac:dyDescent="0.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</row>
    <row r="495" spans="1:43" ht="17.25" x14ac:dyDescent="0.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</row>
    <row r="496" spans="1:43" ht="17.25" x14ac:dyDescent="0.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</row>
    <row r="497" spans="1:43" ht="17.25" x14ac:dyDescent="0.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</row>
    <row r="498" spans="1:43" ht="17.25" x14ac:dyDescent="0.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</row>
    <row r="499" spans="1:43" ht="17.25" x14ac:dyDescent="0.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</row>
    <row r="500" spans="1:43" ht="17.25" x14ac:dyDescent="0.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</row>
    <row r="501" spans="1:43" ht="17.25" x14ac:dyDescent="0.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</row>
    <row r="502" spans="1:43" ht="17.25" x14ac:dyDescent="0.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</row>
    <row r="503" spans="1:43" ht="17.25" x14ac:dyDescent="0.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</row>
    <row r="504" spans="1:43" ht="17.25" x14ac:dyDescent="0.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</row>
    <row r="505" spans="1:43" ht="17.25" x14ac:dyDescent="0.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</row>
    <row r="506" spans="1:43" ht="17.25" x14ac:dyDescent="0.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</row>
    <row r="507" spans="1:43" ht="17.25" x14ac:dyDescent="0.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</row>
    <row r="508" spans="1:43" ht="17.25" x14ac:dyDescent="0.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</row>
    <row r="509" spans="1:43" ht="17.25" x14ac:dyDescent="0.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</row>
    <row r="510" spans="1:43" ht="17.25" x14ac:dyDescent="0.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</row>
    <row r="511" spans="1:43" ht="17.25" x14ac:dyDescent="0.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</row>
    <row r="512" spans="1:43" ht="17.25" x14ac:dyDescent="0.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</row>
    <row r="513" spans="1:43" ht="17.25" x14ac:dyDescent="0.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</row>
    <row r="514" spans="1:43" ht="17.25" x14ac:dyDescent="0.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</row>
    <row r="515" spans="1:43" ht="17.25" x14ac:dyDescent="0.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</row>
    <row r="516" spans="1:43" ht="17.25" x14ac:dyDescent="0.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</row>
    <row r="517" spans="1:43" ht="17.25" x14ac:dyDescent="0.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</row>
    <row r="518" spans="1:43" ht="17.25" x14ac:dyDescent="0.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</row>
    <row r="519" spans="1:43" ht="17.25" x14ac:dyDescent="0.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</row>
    <row r="520" spans="1:43" ht="17.25" x14ac:dyDescent="0.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</row>
    <row r="521" spans="1:43" ht="17.25" x14ac:dyDescent="0.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</row>
    <row r="522" spans="1:43" ht="17.25" x14ac:dyDescent="0.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</row>
    <row r="523" spans="1:43" ht="17.25" x14ac:dyDescent="0.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</row>
    <row r="524" spans="1:43" ht="17.25" x14ac:dyDescent="0.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</row>
    <row r="525" spans="1:43" ht="17.25" x14ac:dyDescent="0.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</row>
    <row r="526" spans="1:43" ht="17.25" x14ac:dyDescent="0.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</row>
    <row r="527" spans="1:43" ht="17.25" x14ac:dyDescent="0.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</row>
    <row r="528" spans="1:43" ht="17.25" x14ac:dyDescent="0.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</row>
    <row r="529" spans="1:43" ht="17.25" x14ac:dyDescent="0.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</row>
    <row r="530" spans="1:43" ht="17.25" x14ac:dyDescent="0.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</row>
    <row r="531" spans="1:43" ht="17.25" x14ac:dyDescent="0.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</row>
    <row r="532" spans="1:43" ht="17.25" x14ac:dyDescent="0.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</row>
    <row r="533" spans="1:43" ht="17.25" x14ac:dyDescent="0.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</row>
    <row r="534" spans="1:43" ht="17.25" x14ac:dyDescent="0.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</row>
    <row r="535" spans="1:43" ht="17.25" x14ac:dyDescent="0.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</row>
    <row r="536" spans="1:43" ht="17.25" x14ac:dyDescent="0.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</row>
    <row r="537" spans="1:43" ht="17.25" x14ac:dyDescent="0.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</row>
    <row r="538" spans="1:43" ht="17.25" x14ac:dyDescent="0.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</row>
    <row r="539" spans="1:43" ht="17.25" x14ac:dyDescent="0.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</row>
    <row r="540" spans="1:43" ht="17.25" x14ac:dyDescent="0.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</row>
    <row r="541" spans="1:43" ht="17.25" x14ac:dyDescent="0.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</row>
    <row r="542" spans="1:43" ht="17.25" x14ac:dyDescent="0.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</row>
    <row r="543" spans="1:43" ht="17.25" x14ac:dyDescent="0.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</row>
    <row r="544" spans="1:43" ht="17.25" x14ac:dyDescent="0.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</row>
    <row r="545" spans="1:43" ht="17.25" x14ac:dyDescent="0.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</row>
    <row r="546" spans="1:43" ht="17.25" x14ac:dyDescent="0.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</row>
    <row r="547" spans="1:43" ht="17.25" x14ac:dyDescent="0.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</row>
    <row r="548" spans="1:43" ht="17.25" x14ac:dyDescent="0.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</row>
    <row r="549" spans="1:43" ht="17.25" x14ac:dyDescent="0.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</row>
    <row r="550" spans="1:43" ht="17.25" x14ac:dyDescent="0.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</row>
    <row r="551" spans="1:43" ht="17.25" x14ac:dyDescent="0.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</row>
    <row r="552" spans="1:43" ht="17.25" x14ac:dyDescent="0.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</row>
    <row r="553" spans="1:43" ht="17.25" x14ac:dyDescent="0.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</row>
    <row r="554" spans="1:43" ht="17.25" x14ac:dyDescent="0.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</row>
    <row r="555" spans="1:43" ht="17.25" x14ac:dyDescent="0.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</row>
    <row r="556" spans="1:43" ht="17.25" x14ac:dyDescent="0.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</row>
    <row r="557" spans="1:43" ht="17.25" x14ac:dyDescent="0.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</row>
    <row r="558" spans="1:43" ht="17.25" x14ac:dyDescent="0.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</row>
    <row r="559" spans="1:43" ht="17.25" x14ac:dyDescent="0.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</row>
    <row r="560" spans="1:43" ht="17.25" x14ac:dyDescent="0.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</row>
    <row r="561" spans="1:43" ht="17.25" x14ac:dyDescent="0.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</row>
    <row r="562" spans="1:43" ht="17.25" x14ac:dyDescent="0.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</row>
    <row r="563" spans="1:43" ht="17.25" x14ac:dyDescent="0.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</row>
    <row r="564" spans="1:43" ht="17.25" x14ac:dyDescent="0.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</row>
    <row r="565" spans="1:43" ht="17.25" x14ac:dyDescent="0.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</row>
    <row r="566" spans="1:43" ht="17.25" x14ac:dyDescent="0.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</row>
    <row r="567" spans="1:43" ht="17.25" x14ac:dyDescent="0.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</row>
    <row r="568" spans="1:43" ht="17.25" x14ac:dyDescent="0.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</row>
    <row r="569" spans="1:43" ht="17.25" x14ac:dyDescent="0.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</row>
    <row r="570" spans="1:43" ht="17.25" x14ac:dyDescent="0.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</row>
    <row r="571" spans="1:43" ht="17.25" x14ac:dyDescent="0.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</row>
    <row r="572" spans="1:43" ht="17.25" x14ac:dyDescent="0.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</row>
    <row r="573" spans="1:43" ht="17.25" x14ac:dyDescent="0.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</row>
    <row r="574" spans="1:43" ht="17.25" x14ac:dyDescent="0.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</row>
    <row r="575" spans="1:43" ht="17.25" x14ac:dyDescent="0.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</row>
    <row r="576" spans="1:43" ht="17.25" x14ac:dyDescent="0.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</row>
    <row r="577" spans="1:43" ht="17.25" x14ac:dyDescent="0.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</row>
    <row r="578" spans="1:43" ht="17.25" x14ac:dyDescent="0.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</row>
    <row r="579" spans="1:43" ht="17.25" x14ac:dyDescent="0.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</row>
    <row r="580" spans="1:43" ht="17.25" x14ac:dyDescent="0.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</row>
    <row r="581" spans="1:43" ht="17.25" x14ac:dyDescent="0.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</row>
    <row r="582" spans="1:43" ht="17.25" x14ac:dyDescent="0.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</row>
    <row r="583" spans="1:43" ht="17.25" x14ac:dyDescent="0.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</row>
    <row r="584" spans="1:43" ht="17.25" x14ac:dyDescent="0.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</row>
    <row r="585" spans="1:43" ht="17.25" x14ac:dyDescent="0.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</row>
    <row r="586" spans="1:43" ht="17.25" x14ac:dyDescent="0.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</row>
    <row r="587" spans="1:43" ht="17.25" x14ac:dyDescent="0.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</row>
    <row r="588" spans="1:43" ht="17.25" x14ac:dyDescent="0.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</row>
    <row r="589" spans="1:43" ht="17.25" x14ac:dyDescent="0.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</row>
    <row r="590" spans="1:43" ht="17.25" x14ac:dyDescent="0.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</row>
    <row r="591" spans="1:43" ht="17.25" x14ac:dyDescent="0.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</row>
    <row r="592" spans="1:43" ht="17.25" x14ac:dyDescent="0.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</row>
    <row r="593" spans="1:43" ht="17.25" x14ac:dyDescent="0.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</row>
    <row r="594" spans="1:43" ht="17.25" x14ac:dyDescent="0.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</row>
    <row r="595" spans="1:43" ht="17.25" x14ac:dyDescent="0.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</row>
    <row r="596" spans="1:43" ht="17.25" x14ac:dyDescent="0.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</row>
    <row r="597" spans="1:43" ht="17.25" x14ac:dyDescent="0.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</row>
    <row r="598" spans="1:43" ht="17.25" x14ac:dyDescent="0.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</row>
    <row r="599" spans="1:43" ht="17.25" x14ac:dyDescent="0.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</row>
    <row r="600" spans="1:43" ht="17.25" x14ac:dyDescent="0.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</row>
    <row r="601" spans="1:43" ht="17.25" x14ac:dyDescent="0.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</row>
    <row r="602" spans="1:43" ht="17.25" x14ac:dyDescent="0.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</row>
    <row r="603" spans="1:43" ht="17.25" x14ac:dyDescent="0.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</row>
    <row r="604" spans="1:43" ht="17.25" x14ac:dyDescent="0.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</row>
    <row r="605" spans="1:43" ht="17.25" x14ac:dyDescent="0.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</row>
    <row r="606" spans="1:43" ht="17.25" x14ac:dyDescent="0.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</row>
    <row r="607" spans="1:43" ht="17.25" x14ac:dyDescent="0.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</row>
    <row r="608" spans="1:43" ht="17.25" x14ac:dyDescent="0.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</row>
    <row r="609" spans="1:43" ht="17.25" x14ac:dyDescent="0.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</row>
    <row r="610" spans="1:43" ht="17.25" x14ac:dyDescent="0.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</row>
    <row r="611" spans="1:43" ht="17.25" x14ac:dyDescent="0.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</row>
    <row r="612" spans="1:43" ht="17.25" x14ac:dyDescent="0.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</row>
    <row r="613" spans="1:43" ht="17.25" x14ac:dyDescent="0.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</row>
    <row r="614" spans="1:43" ht="17.25" x14ac:dyDescent="0.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</row>
    <row r="615" spans="1:43" ht="17.25" x14ac:dyDescent="0.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</row>
    <row r="616" spans="1:43" ht="17.25" x14ac:dyDescent="0.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</row>
    <row r="617" spans="1:43" ht="17.25" x14ac:dyDescent="0.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</row>
    <row r="618" spans="1:43" ht="17.25" x14ac:dyDescent="0.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</row>
    <row r="619" spans="1:43" ht="17.25" x14ac:dyDescent="0.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</row>
    <row r="620" spans="1:43" ht="17.25" x14ac:dyDescent="0.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</row>
    <row r="621" spans="1:43" ht="17.25" x14ac:dyDescent="0.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</row>
    <row r="622" spans="1:43" ht="17.25" x14ac:dyDescent="0.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</row>
    <row r="623" spans="1:43" ht="17.25" x14ac:dyDescent="0.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</row>
    <row r="624" spans="1:43" ht="17.25" x14ac:dyDescent="0.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</row>
    <row r="625" spans="1:43" ht="17.25" x14ac:dyDescent="0.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</row>
    <row r="626" spans="1:43" ht="17.25" x14ac:dyDescent="0.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</row>
    <row r="627" spans="1:43" ht="17.25" x14ac:dyDescent="0.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</row>
    <row r="628" spans="1:43" ht="17.25" x14ac:dyDescent="0.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</row>
    <row r="629" spans="1:43" ht="17.25" x14ac:dyDescent="0.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</row>
    <row r="630" spans="1:43" ht="17.25" x14ac:dyDescent="0.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</row>
    <row r="631" spans="1:43" ht="17.25" x14ac:dyDescent="0.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</row>
    <row r="632" spans="1:43" ht="17.25" x14ac:dyDescent="0.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</row>
    <row r="633" spans="1:43" ht="17.25" x14ac:dyDescent="0.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</row>
    <row r="634" spans="1:43" ht="17.25" x14ac:dyDescent="0.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</row>
    <row r="635" spans="1:43" ht="17.25" x14ac:dyDescent="0.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</row>
    <row r="636" spans="1:43" ht="17.25" x14ac:dyDescent="0.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</row>
    <row r="637" spans="1:43" ht="17.25" x14ac:dyDescent="0.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</row>
    <row r="638" spans="1:43" ht="17.25" x14ac:dyDescent="0.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</row>
    <row r="639" spans="1:43" ht="17.25" x14ac:dyDescent="0.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</row>
    <row r="640" spans="1:43" ht="17.25" x14ac:dyDescent="0.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</row>
    <row r="641" spans="1:43" ht="17.25" x14ac:dyDescent="0.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</row>
    <row r="642" spans="1:43" ht="17.25" x14ac:dyDescent="0.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</row>
    <row r="643" spans="1:43" ht="17.25" x14ac:dyDescent="0.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</row>
    <row r="644" spans="1:43" ht="17.25" x14ac:dyDescent="0.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</row>
    <row r="645" spans="1:43" ht="17.25" x14ac:dyDescent="0.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</row>
    <row r="646" spans="1:43" ht="17.25" x14ac:dyDescent="0.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</row>
    <row r="647" spans="1:43" ht="17.25" x14ac:dyDescent="0.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</row>
    <row r="648" spans="1:43" ht="17.25" x14ac:dyDescent="0.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</row>
    <row r="649" spans="1:43" ht="17.25" x14ac:dyDescent="0.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</row>
    <row r="650" spans="1:43" ht="17.25" x14ac:dyDescent="0.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</row>
    <row r="651" spans="1:43" ht="17.25" x14ac:dyDescent="0.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</row>
    <row r="652" spans="1:43" ht="17.25" x14ac:dyDescent="0.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</row>
    <row r="653" spans="1:43" ht="17.25" x14ac:dyDescent="0.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</row>
    <row r="654" spans="1:43" ht="17.25" x14ac:dyDescent="0.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</row>
    <row r="655" spans="1:43" ht="17.25" x14ac:dyDescent="0.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</row>
    <row r="656" spans="1:43" ht="17.25" x14ac:dyDescent="0.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</row>
    <row r="657" spans="1:43" ht="17.25" x14ac:dyDescent="0.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</row>
    <row r="658" spans="1:43" ht="17.25" x14ac:dyDescent="0.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</row>
    <row r="659" spans="1:43" ht="17.25" x14ac:dyDescent="0.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</row>
    <row r="660" spans="1:43" ht="17.25" x14ac:dyDescent="0.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</row>
    <row r="661" spans="1:43" ht="17.25" x14ac:dyDescent="0.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</row>
    <row r="662" spans="1:43" ht="17.25" x14ac:dyDescent="0.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</row>
    <row r="663" spans="1:43" ht="17.25" x14ac:dyDescent="0.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</row>
    <row r="664" spans="1:43" ht="17.25" x14ac:dyDescent="0.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</row>
    <row r="665" spans="1:43" ht="17.25" x14ac:dyDescent="0.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</row>
    <row r="666" spans="1:43" ht="17.25" x14ac:dyDescent="0.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</row>
    <row r="667" spans="1:43" ht="17.25" x14ac:dyDescent="0.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</row>
    <row r="668" spans="1:43" ht="17.25" x14ac:dyDescent="0.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</row>
    <row r="669" spans="1:43" ht="17.25" x14ac:dyDescent="0.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</row>
    <row r="670" spans="1:43" ht="17.25" x14ac:dyDescent="0.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</row>
    <row r="671" spans="1:43" ht="17.25" x14ac:dyDescent="0.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</row>
    <row r="672" spans="1:43" ht="17.25" x14ac:dyDescent="0.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</row>
    <row r="673" spans="1:43" ht="17.25" x14ac:dyDescent="0.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</row>
    <row r="674" spans="1:43" ht="17.25" x14ac:dyDescent="0.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</row>
    <row r="675" spans="1:43" ht="17.25" x14ac:dyDescent="0.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</row>
    <row r="676" spans="1:43" ht="17.25" x14ac:dyDescent="0.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</row>
    <row r="677" spans="1:43" ht="17.25" x14ac:dyDescent="0.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</row>
    <row r="678" spans="1:43" ht="17.25" x14ac:dyDescent="0.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</row>
    <row r="679" spans="1:43" ht="17.25" x14ac:dyDescent="0.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</row>
    <row r="680" spans="1:43" ht="17.25" x14ac:dyDescent="0.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</row>
    <row r="681" spans="1:43" ht="17.25" x14ac:dyDescent="0.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</row>
    <row r="682" spans="1:43" ht="17.25" x14ac:dyDescent="0.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</row>
    <row r="683" spans="1:43" ht="17.25" x14ac:dyDescent="0.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</row>
    <row r="684" spans="1:43" ht="17.25" x14ac:dyDescent="0.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</row>
    <row r="685" spans="1:43" ht="17.25" x14ac:dyDescent="0.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</row>
    <row r="686" spans="1:43" ht="17.25" x14ac:dyDescent="0.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</row>
    <row r="687" spans="1:43" ht="17.25" x14ac:dyDescent="0.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</row>
    <row r="688" spans="1:43" ht="17.25" x14ac:dyDescent="0.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</row>
    <row r="689" spans="1:43" ht="17.25" x14ac:dyDescent="0.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</row>
    <row r="690" spans="1:43" ht="17.25" x14ac:dyDescent="0.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</row>
    <row r="691" spans="1:43" ht="17.25" x14ac:dyDescent="0.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</row>
    <row r="692" spans="1:43" ht="17.25" x14ac:dyDescent="0.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</row>
    <row r="693" spans="1:43" ht="17.25" x14ac:dyDescent="0.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</row>
    <row r="694" spans="1:43" ht="17.25" x14ac:dyDescent="0.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</row>
    <row r="695" spans="1:43" ht="17.25" x14ac:dyDescent="0.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</row>
    <row r="696" spans="1:43" ht="17.25" x14ac:dyDescent="0.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</row>
    <row r="697" spans="1:43" ht="17.25" x14ac:dyDescent="0.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</row>
    <row r="698" spans="1:43" ht="17.25" x14ac:dyDescent="0.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</row>
    <row r="699" spans="1:43" ht="17.25" x14ac:dyDescent="0.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</row>
    <row r="700" spans="1:43" ht="17.25" x14ac:dyDescent="0.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</row>
    <row r="701" spans="1:43" ht="17.25" x14ac:dyDescent="0.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</row>
    <row r="702" spans="1:43" ht="17.25" x14ac:dyDescent="0.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</row>
    <row r="703" spans="1:43" ht="17.25" x14ac:dyDescent="0.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</row>
    <row r="704" spans="1:43" ht="17.25" x14ac:dyDescent="0.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</row>
    <row r="705" spans="1:43" ht="17.25" x14ac:dyDescent="0.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</row>
    <row r="706" spans="1:43" ht="17.25" x14ac:dyDescent="0.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</row>
    <row r="707" spans="1:43" ht="17.25" x14ac:dyDescent="0.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</row>
    <row r="708" spans="1:43" ht="17.25" x14ac:dyDescent="0.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</row>
    <row r="709" spans="1:43" ht="17.25" x14ac:dyDescent="0.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</row>
    <row r="710" spans="1:43" ht="17.25" x14ac:dyDescent="0.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</row>
    <row r="711" spans="1:43" ht="17.25" x14ac:dyDescent="0.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</row>
    <row r="712" spans="1:43" ht="17.25" x14ac:dyDescent="0.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</row>
    <row r="713" spans="1:43" ht="17.25" x14ac:dyDescent="0.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</row>
    <row r="714" spans="1:43" ht="17.25" x14ac:dyDescent="0.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</row>
    <row r="715" spans="1:43" ht="17.25" x14ac:dyDescent="0.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</row>
    <row r="716" spans="1:43" ht="17.25" x14ac:dyDescent="0.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</row>
    <row r="717" spans="1:43" ht="17.25" x14ac:dyDescent="0.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</row>
    <row r="718" spans="1:43" ht="17.25" x14ac:dyDescent="0.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</row>
    <row r="719" spans="1:43" ht="17.25" x14ac:dyDescent="0.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</row>
    <row r="720" spans="1:43" ht="17.25" x14ac:dyDescent="0.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</row>
    <row r="721" spans="1:43" ht="17.25" x14ac:dyDescent="0.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</row>
    <row r="722" spans="1:43" ht="17.25" x14ac:dyDescent="0.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</row>
    <row r="723" spans="1:43" ht="17.25" x14ac:dyDescent="0.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</row>
    <row r="724" spans="1:43" ht="17.25" x14ac:dyDescent="0.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</row>
    <row r="725" spans="1:43" ht="17.25" x14ac:dyDescent="0.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</row>
    <row r="726" spans="1:43" ht="17.25" x14ac:dyDescent="0.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</row>
    <row r="727" spans="1:43" ht="17.25" x14ac:dyDescent="0.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</row>
    <row r="728" spans="1:43" ht="17.25" x14ac:dyDescent="0.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</row>
    <row r="729" spans="1:43" ht="17.25" x14ac:dyDescent="0.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</row>
    <row r="730" spans="1:43" ht="17.25" x14ac:dyDescent="0.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</row>
    <row r="731" spans="1:43" ht="17.25" x14ac:dyDescent="0.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</row>
    <row r="732" spans="1:43" ht="17.25" x14ac:dyDescent="0.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</row>
    <row r="733" spans="1:43" ht="17.25" x14ac:dyDescent="0.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</row>
    <row r="734" spans="1:43" ht="17.25" x14ac:dyDescent="0.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</row>
    <row r="735" spans="1:43" ht="17.25" x14ac:dyDescent="0.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</row>
    <row r="736" spans="1:43" ht="17.25" x14ac:dyDescent="0.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</row>
    <row r="737" spans="1:43" ht="17.25" x14ac:dyDescent="0.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</row>
    <row r="738" spans="1:43" ht="17.25" x14ac:dyDescent="0.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</row>
    <row r="739" spans="1:43" ht="17.25" x14ac:dyDescent="0.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</row>
    <row r="740" spans="1:43" ht="17.25" x14ac:dyDescent="0.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</row>
    <row r="741" spans="1:43" ht="17.25" x14ac:dyDescent="0.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</row>
    <row r="742" spans="1:43" ht="17.25" x14ac:dyDescent="0.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</row>
    <row r="743" spans="1:43" ht="17.25" x14ac:dyDescent="0.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</row>
    <row r="744" spans="1:43" ht="17.25" x14ac:dyDescent="0.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</row>
    <row r="745" spans="1:43" ht="17.25" x14ac:dyDescent="0.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</row>
    <row r="746" spans="1:43" ht="17.25" x14ac:dyDescent="0.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</row>
    <row r="747" spans="1:43" ht="17.25" x14ac:dyDescent="0.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</row>
    <row r="748" spans="1:43" ht="17.25" x14ac:dyDescent="0.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</row>
    <row r="749" spans="1:43" ht="17.25" x14ac:dyDescent="0.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</row>
    <row r="750" spans="1:43" ht="17.25" x14ac:dyDescent="0.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</row>
    <row r="751" spans="1:43" ht="17.25" x14ac:dyDescent="0.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</row>
    <row r="752" spans="1:43" ht="17.25" x14ac:dyDescent="0.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</row>
    <row r="753" spans="1:43" ht="17.25" x14ac:dyDescent="0.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</row>
    <row r="754" spans="1:43" ht="17.25" x14ac:dyDescent="0.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</row>
    <row r="755" spans="1:43" ht="17.25" x14ac:dyDescent="0.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</row>
    <row r="756" spans="1:43" ht="17.25" x14ac:dyDescent="0.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</row>
    <row r="757" spans="1:43" ht="17.25" x14ac:dyDescent="0.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</row>
    <row r="758" spans="1:43" ht="17.25" x14ac:dyDescent="0.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</row>
    <row r="759" spans="1:43" ht="17.25" x14ac:dyDescent="0.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</row>
    <row r="760" spans="1:43" ht="17.25" x14ac:dyDescent="0.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</row>
    <row r="761" spans="1:43" ht="17.25" x14ac:dyDescent="0.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</row>
    <row r="762" spans="1:43" ht="17.25" x14ac:dyDescent="0.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</row>
    <row r="763" spans="1:43" ht="17.25" x14ac:dyDescent="0.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</row>
    <row r="764" spans="1:43" ht="17.25" x14ac:dyDescent="0.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</row>
    <row r="765" spans="1:43" ht="17.25" x14ac:dyDescent="0.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</row>
    <row r="766" spans="1:43" ht="17.25" x14ac:dyDescent="0.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</row>
    <row r="767" spans="1:43" ht="17.25" x14ac:dyDescent="0.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</row>
    <row r="768" spans="1:43" ht="17.25" x14ac:dyDescent="0.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</row>
    <row r="769" spans="1:43" ht="17.25" x14ac:dyDescent="0.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</row>
    <row r="770" spans="1:43" ht="17.25" x14ac:dyDescent="0.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</row>
    <row r="771" spans="1:43" ht="17.25" x14ac:dyDescent="0.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</row>
    <row r="772" spans="1:43" ht="17.25" x14ac:dyDescent="0.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</row>
    <row r="773" spans="1:43" ht="17.25" x14ac:dyDescent="0.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</row>
    <row r="774" spans="1:43" ht="17.25" x14ac:dyDescent="0.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</row>
    <row r="775" spans="1:43" ht="17.25" x14ac:dyDescent="0.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</row>
    <row r="776" spans="1:43" ht="17.25" x14ac:dyDescent="0.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</row>
    <row r="777" spans="1:43" ht="17.25" x14ac:dyDescent="0.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</row>
    <row r="778" spans="1:43" ht="17.25" x14ac:dyDescent="0.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</row>
    <row r="779" spans="1:43" ht="17.25" x14ac:dyDescent="0.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</row>
    <row r="780" spans="1:43" ht="17.25" x14ac:dyDescent="0.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</row>
    <row r="781" spans="1:43" ht="17.25" x14ac:dyDescent="0.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</row>
    <row r="782" spans="1:43" ht="17.25" x14ac:dyDescent="0.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</row>
    <row r="783" spans="1:43" ht="17.25" x14ac:dyDescent="0.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</row>
    <row r="784" spans="1:43" ht="17.25" x14ac:dyDescent="0.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</row>
    <row r="785" spans="1:43" ht="17.25" x14ac:dyDescent="0.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</row>
    <row r="786" spans="1:43" ht="17.25" x14ac:dyDescent="0.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</row>
    <row r="787" spans="1:43" ht="17.25" x14ac:dyDescent="0.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</row>
    <row r="788" spans="1:43" ht="17.25" x14ac:dyDescent="0.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</row>
    <row r="789" spans="1:43" ht="17.25" x14ac:dyDescent="0.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</row>
    <row r="790" spans="1:43" ht="17.25" x14ac:dyDescent="0.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</row>
    <row r="791" spans="1:43" ht="17.25" x14ac:dyDescent="0.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</row>
    <row r="792" spans="1:43" ht="17.25" x14ac:dyDescent="0.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</row>
    <row r="793" spans="1:43" ht="17.25" x14ac:dyDescent="0.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</row>
    <row r="794" spans="1:43" ht="17.25" x14ac:dyDescent="0.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</row>
    <row r="795" spans="1:43" ht="17.25" x14ac:dyDescent="0.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</row>
    <row r="796" spans="1:43" ht="17.25" x14ac:dyDescent="0.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</row>
    <row r="797" spans="1:43" ht="17.25" x14ac:dyDescent="0.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</row>
    <row r="798" spans="1:43" ht="17.25" x14ac:dyDescent="0.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</row>
    <row r="799" spans="1:43" ht="17.25" x14ac:dyDescent="0.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</row>
    <row r="800" spans="1:43" ht="17.25" x14ac:dyDescent="0.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</row>
    <row r="801" spans="1:43" ht="17.25" x14ac:dyDescent="0.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</row>
    <row r="802" spans="1:43" ht="17.25" x14ac:dyDescent="0.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</row>
    <row r="803" spans="1:43" ht="17.25" x14ac:dyDescent="0.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</row>
    <row r="804" spans="1:43" ht="17.25" x14ac:dyDescent="0.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</row>
    <row r="805" spans="1:43" ht="17.25" x14ac:dyDescent="0.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</row>
    <row r="806" spans="1:43" ht="17.25" x14ac:dyDescent="0.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</row>
    <row r="807" spans="1:43" ht="17.25" x14ac:dyDescent="0.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</row>
    <row r="808" spans="1:43" ht="17.25" x14ac:dyDescent="0.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</row>
    <row r="809" spans="1:43" ht="17.25" x14ac:dyDescent="0.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</row>
    <row r="810" spans="1:43" ht="17.25" x14ac:dyDescent="0.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</row>
    <row r="811" spans="1:43" ht="17.25" x14ac:dyDescent="0.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</row>
    <row r="812" spans="1:43" ht="17.25" x14ac:dyDescent="0.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</row>
    <row r="813" spans="1:43" ht="17.25" x14ac:dyDescent="0.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</row>
    <row r="814" spans="1:43" ht="17.25" x14ac:dyDescent="0.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</row>
    <row r="815" spans="1:43" ht="17.25" x14ac:dyDescent="0.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</row>
    <row r="816" spans="1:43" ht="17.25" x14ac:dyDescent="0.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</row>
    <row r="817" spans="1:43" ht="17.25" x14ac:dyDescent="0.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</row>
    <row r="818" spans="1:43" ht="17.25" x14ac:dyDescent="0.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</row>
    <row r="819" spans="1:43" ht="17.25" x14ac:dyDescent="0.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</row>
    <row r="820" spans="1:43" ht="17.25" x14ac:dyDescent="0.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</row>
    <row r="821" spans="1:43" ht="17.25" x14ac:dyDescent="0.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</row>
    <row r="822" spans="1:43" ht="17.25" x14ac:dyDescent="0.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</row>
    <row r="823" spans="1:43" ht="17.25" x14ac:dyDescent="0.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</row>
    <row r="824" spans="1:43" ht="17.25" x14ac:dyDescent="0.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</row>
    <row r="825" spans="1:43" ht="17.25" x14ac:dyDescent="0.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</row>
    <row r="826" spans="1:43" ht="17.25" x14ac:dyDescent="0.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</row>
    <row r="827" spans="1:43" ht="17.25" x14ac:dyDescent="0.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</row>
    <row r="828" spans="1:43" ht="17.25" x14ac:dyDescent="0.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</row>
    <row r="829" spans="1:43" ht="17.25" x14ac:dyDescent="0.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</row>
    <row r="830" spans="1:43" ht="17.25" x14ac:dyDescent="0.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</row>
    <row r="831" spans="1:43" ht="17.25" x14ac:dyDescent="0.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</row>
    <row r="832" spans="1:43" ht="17.25" x14ac:dyDescent="0.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</row>
    <row r="833" spans="1:43" ht="17.25" x14ac:dyDescent="0.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</row>
    <row r="834" spans="1:43" ht="17.25" x14ac:dyDescent="0.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</row>
    <row r="835" spans="1:43" ht="17.25" x14ac:dyDescent="0.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</row>
    <row r="836" spans="1:43" ht="17.25" x14ac:dyDescent="0.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</row>
    <row r="837" spans="1:43" ht="17.25" x14ac:dyDescent="0.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</row>
    <row r="838" spans="1:43" ht="17.25" x14ac:dyDescent="0.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</row>
    <row r="839" spans="1:43" ht="17.25" x14ac:dyDescent="0.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</row>
    <row r="840" spans="1:43" ht="17.25" x14ac:dyDescent="0.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</row>
    <row r="841" spans="1:43" ht="17.25" x14ac:dyDescent="0.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</row>
    <row r="842" spans="1:43" ht="17.25" x14ac:dyDescent="0.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</row>
    <row r="843" spans="1:43" ht="17.25" x14ac:dyDescent="0.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</row>
    <row r="844" spans="1:43" ht="17.25" x14ac:dyDescent="0.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</row>
    <row r="845" spans="1:43" ht="17.25" x14ac:dyDescent="0.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</row>
    <row r="846" spans="1:43" ht="17.25" x14ac:dyDescent="0.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</row>
    <row r="847" spans="1:43" ht="17.25" x14ac:dyDescent="0.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</row>
    <row r="848" spans="1:43" ht="17.25" x14ac:dyDescent="0.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</row>
    <row r="849" spans="1:43" ht="17.25" x14ac:dyDescent="0.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</row>
    <row r="850" spans="1:43" ht="17.25" x14ac:dyDescent="0.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</row>
    <row r="851" spans="1:43" ht="17.25" x14ac:dyDescent="0.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</row>
    <row r="852" spans="1:43" ht="17.25" x14ac:dyDescent="0.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</row>
    <row r="853" spans="1:43" ht="17.25" x14ac:dyDescent="0.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</row>
    <row r="854" spans="1:43" ht="17.25" x14ac:dyDescent="0.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</row>
    <row r="855" spans="1:43" ht="17.25" x14ac:dyDescent="0.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</row>
    <row r="856" spans="1:43" ht="17.25" x14ac:dyDescent="0.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</row>
    <row r="857" spans="1:43" ht="17.25" x14ac:dyDescent="0.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</row>
    <row r="858" spans="1:43" ht="17.25" x14ac:dyDescent="0.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</row>
    <row r="859" spans="1:43" ht="17.25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</row>
    <row r="860" spans="1:43" ht="17.25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</row>
    <row r="861" spans="1:43" ht="17.25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</row>
    <row r="862" spans="1:43" ht="17.25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</row>
    <row r="863" spans="1:43" ht="17.25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</row>
    <row r="864" spans="1:43" ht="17.25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</row>
    <row r="865" spans="1:43" ht="17.25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</row>
    <row r="866" spans="1:43" ht="17.25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</row>
    <row r="867" spans="1:43" ht="17.25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</row>
    <row r="868" spans="1:43" ht="17.25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</row>
    <row r="869" spans="1:43" ht="17.25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</row>
    <row r="870" spans="1:43" ht="17.25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</row>
    <row r="871" spans="1:43" ht="17.25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</row>
    <row r="872" spans="1:43" ht="17.25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</row>
    <row r="873" spans="1:43" ht="17.25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</row>
    <row r="874" spans="1:43" ht="17.25" x14ac:dyDescent="0.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</row>
    <row r="875" spans="1:43" ht="17.25" x14ac:dyDescent="0.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</row>
    <row r="876" spans="1:43" ht="17.25" x14ac:dyDescent="0.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</row>
    <row r="877" spans="1:43" ht="17.25" x14ac:dyDescent="0.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</row>
    <row r="878" spans="1:43" ht="17.25" x14ac:dyDescent="0.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</row>
    <row r="879" spans="1:43" ht="17.25" x14ac:dyDescent="0.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</row>
    <row r="880" spans="1:43" ht="17.25" x14ac:dyDescent="0.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</row>
    <row r="881" spans="1:43" ht="17.25" x14ac:dyDescent="0.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</row>
    <row r="882" spans="1:43" ht="17.25" x14ac:dyDescent="0.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</row>
    <row r="883" spans="1:43" ht="17.25" x14ac:dyDescent="0.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</row>
    <row r="884" spans="1:43" ht="17.25" x14ac:dyDescent="0.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</row>
    <row r="885" spans="1:43" ht="17.25" x14ac:dyDescent="0.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</row>
    <row r="886" spans="1:43" ht="17.25" x14ac:dyDescent="0.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</row>
    <row r="887" spans="1:43" ht="17.25" x14ac:dyDescent="0.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</row>
    <row r="888" spans="1:43" ht="17.25" x14ac:dyDescent="0.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</row>
    <row r="889" spans="1:43" ht="17.25" x14ac:dyDescent="0.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</row>
    <row r="890" spans="1:43" ht="17.25" x14ac:dyDescent="0.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</row>
    <row r="891" spans="1:43" ht="17.25" x14ac:dyDescent="0.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</row>
    <row r="892" spans="1:43" ht="17.25" x14ac:dyDescent="0.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</row>
    <row r="893" spans="1:43" ht="17.25" x14ac:dyDescent="0.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</row>
    <row r="894" spans="1:43" ht="17.25" x14ac:dyDescent="0.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</row>
    <row r="895" spans="1:43" ht="17.25" x14ac:dyDescent="0.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</row>
    <row r="896" spans="1:43" ht="17.25" x14ac:dyDescent="0.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</row>
    <row r="897" spans="1:43" ht="17.25" x14ac:dyDescent="0.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</row>
    <row r="898" spans="1:43" ht="17.25" x14ac:dyDescent="0.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</row>
    <row r="899" spans="1:43" ht="17.25" x14ac:dyDescent="0.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</row>
    <row r="900" spans="1:43" ht="17.25" x14ac:dyDescent="0.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</row>
    <row r="901" spans="1:43" ht="17.25" x14ac:dyDescent="0.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</row>
    <row r="902" spans="1:43" ht="17.25" x14ac:dyDescent="0.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</row>
    <row r="903" spans="1:43" ht="17.25" x14ac:dyDescent="0.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</row>
    <row r="904" spans="1:43" ht="17.25" x14ac:dyDescent="0.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</row>
    <row r="905" spans="1:43" ht="17.25" x14ac:dyDescent="0.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</row>
    <row r="906" spans="1:43" ht="17.25" x14ac:dyDescent="0.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</row>
    <row r="907" spans="1:43" ht="17.25" x14ac:dyDescent="0.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</row>
    <row r="908" spans="1:43" ht="17.25" x14ac:dyDescent="0.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</row>
    <row r="909" spans="1:43" ht="17.25" x14ac:dyDescent="0.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</row>
    <row r="910" spans="1:43" ht="17.25" x14ac:dyDescent="0.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</row>
    <row r="911" spans="1:43" ht="17.25" x14ac:dyDescent="0.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</row>
    <row r="912" spans="1:43" ht="17.25" x14ac:dyDescent="0.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</row>
    <row r="913" spans="1:43" ht="17.25" x14ac:dyDescent="0.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</row>
    <row r="914" spans="1:43" ht="17.25" x14ac:dyDescent="0.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</row>
    <row r="915" spans="1:43" ht="17.25" x14ac:dyDescent="0.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</row>
    <row r="916" spans="1:43" ht="17.25" x14ac:dyDescent="0.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</row>
    <row r="917" spans="1:43" ht="17.25" x14ac:dyDescent="0.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</row>
    <row r="918" spans="1:43" ht="17.25" x14ac:dyDescent="0.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</row>
    <row r="919" spans="1:43" ht="17.25" x14ac:dyDescent="0.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</row>
    <row r="920" spans="1:43" ht="17.25" x14ac:dyDescent="0.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</row>
    <row r="921" spans="1:43" ht="17.25" x14ac:dyDescent="0.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</row>
    <row r="922" spans="1:43" ht="17.25" x14ac:dyDescent="0.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</row>
    <row r="923" spans="1:43" ht="17.25" x14ac:dyDescent="0.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</row>
    <row r="924" spans="1:43" ht="17.25" x14ac:dyDescent="0.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</row>
    <row r="925" spans="1:43" ht="17.25" x14ac:dyDescent="0.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</row>
    <row r="926" spans="1:43" ht="17.25" x14ac:dyDescent="0.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</row>
    <row r="927" spans="1:43" ht="17.25" x14ac:dyDescent="0.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</row>
    <row r="928" spans="1:43" ht="17.25" x14ac:dyDescent="0.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</row>
    <row r="929" spans="1:43" ht="17.25" x14ac:dyDescent="0.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</row>
    <row r="930" spans="1:43" ht="17.25" x14ac:dyDescent="0.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</row>
    <row r="931" spans="1:43" ht="17.25" x14ac:dyDescent="0.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</row>
    <row r="932" spans="1:43" ht="17.25" x14ac:dyDescent="0.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</row>
    <row r="933" spans="1:43" ht="17.25" x14ac:dyDescent="0.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</row>
    <row r="934" spans="1:43" ht="17.25" x14ac:dyDescent="0.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</row>
    <row r="935" spans="1:43" ht="17.25" x14ac:dyDescent="0.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</row>
    <row r="936" spans="1:43" ht="17.25" x14ac:dyDescent="0.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</row>
    <row r="937" spans="1:43" ht="17.25" x14ac:dyDescent="0.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</row>
    <row r="938" spans="1:43" ht="17.25" x14ac:dyDescent="0.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</row>
    <row r="939" spans="1:43" ht="17.25" x14ac:dyDescent="0.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</row>
    <row r="940" spans="1:43" ht="17.25" x14ac:dyDescent="0.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</row>
    <row r="941" spans="1:43" ht="17.25" x14ac:dyDescent="0.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</row>
    <row r="942" spans="1:43" ht="17.25" x14ac:dyDescent="0.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</row>
    <row r="943" spans="1:43" ht="17.25" x14ac:dyDescent="0.1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</row>
    <row r="944" spans="1:43" ht="17.25" x14ac:dyDescent="0.1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</row>
    <row r="945" spans="1:43" ht="17.25" x14ac:dyDescent="0.1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</row>
    <row r="946" spans="1:43" ht="17.25" x14ac:dyDescent="0.1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</row>
    <row r="947" spans="1:43" ht="17.25" x14ac:dyDescent="0.1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</row>
    <row r="948" spans="1:43" ht="17.25" x14ac:dyDescent="0.1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</row>
    <row r="949" spans="1:43" ht="17.25" x14ac:dyDescent="0.1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</row>
    <row r="950" spans="1:43" ht="17.25" x14ac:dyDescent="0.1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</row>
    <row r="951" spans="1:43" ht="17.25" x14ac:dyDescent="0.1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</row>
    <row r="952" spans="1:43" ht="17.25" x14ac:dyDescent="0.1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</row>
    <row r="953" spans="1:43" ht="17.25" x14ac:dyDescent="0.1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</row>
    <row r="954" spans="1:43" ht="17.25" x14ac:dyDescent="0.1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</row>
    <row r="955" spans="1:43" ht="17.25" x14ac:dyDescent="0.1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</row>
    <row r="956" spans="1:43" ht="17.25" x14ac:dyDescent="0.1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</row>
    <row r="957" spans="1:43" ht="17.25" x14ac:dyDescent="0.1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</row>
    <row r="958" spans="1:43" ht="17.25" x14ac:dyDescent="0.1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</row>
    <row r="959" spans="1:43" ht="17.25" x14ac:dyDescent="0.1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</row>
    <row r="960" spans="1:43" ht="17.25" x14ac:dyDescent="0.1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</row>
    <row r="961" spans="1:43" ht="17.25" x14ac:dyDescent="0.1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</row>
    <row r="962" spans="1:43" ht="17.25" x14ac:dyDescent="0.1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</row>
    <row r="963" spans="1:43" ht="17.25" x14ac:dyDescent="0.1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</row>
    <row r="964" spans="1:43" ht="17.25" x14ac:dyDescent="0.1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</row>
    <row r="965" spans="1:43" ht="17.25" x14ac:dyDescent="0.1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</row>
    <row r="966" spans="1:43" ht="17.25" x14ac:dyDescent="0.15">
      <c r="A966" s="19"/>
      <c r="B966" s="19"/>
      <c r="C966" s="19"/>
    </row>
  </sheetData>
  <mergeCells count="3">
    <mergeCell ref="A2:D2"/>
    <mergeCell ref="A3:B3"/>
    <mergeCell ref="A10:B10"/>
  </mergeCells>
  <conditionalFormatting sqref="AF1:AQ3">
    <cfRule type="notContainsBlanks" dxfId="3" priority="1">
      <formula>LEN(TRIM(AF1))&gt;0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2384D"/>
    <outlinePr summaryBelow="0" summaryRight="0"/>
  </sheetPr>
  <dimension ref="A1:AO961"/>
  <sheetViews>
    <sheetView tabSelected="1" workbookViewId="0"/>
  </sheetViews>
  <sheetFormatPr defaultColWidth="12.5390625" defaultRowHeight="15.75" customHeight="1" outlineLevelRow="3" outlineLevelCol="1" x14ac:dyDescent="0.15"/>
  <cols>
    <col min="1" max="1" width="33.44140625" customWidth="1" collapsed="1"/>
    <col min="2" max="2" width="8.08984375" hidden="1" customWidth="1" outlineLevel="1"/>
    <col min="3" max="3" width="14.96875" customWidth="1" collapsed="1"/>
    <col min="4" max="4" width="11.59375" hidden="1" customWidth="1" outlineLevel="1"/>
    <col min="5" max="5" width="11.73046875" hidden="1" customWidth="1" outlineLevel="1"/>
    <col min="6" max="6" width="12" hidden="1" customWidth="1" outlineLevel="1"/>
    <col min="7" max="7" width="11.59375" hidden="1" customWidth="1" outlineLevel="1"/>
    <col min="8" max="8" width="11.73046875" hidden="1" customWidth="1" outlineLevel="1"/>
    <col min="9" max="12" width="12" hidden="1" customWidth="1" outlineLevel="1"/>
    <col min="13" max="15" width="11.59375" hidden="1" customWidth="1" outlineLevel="1"/>
    <col min="16" max="16" width="14.96875" customWidth="1" collapsed="1"/>
    <col min="17" max="17" width="10.65234375" hidden="1" customWidth="1" outlineLevel="1"/>
    <col min="18" max="18" width="11.73046875" hidden="1" customWidth="1" outlineLevel="1"/>
    <col min="19" max="19" width="12.13671875" hidden="1" customWidth="1" outlineLevel="1"/>
    <col min="20" max="20" width="12.5390625" hidden="1" customWidth="1" outlineLevel="1"/>
    <col min="21" max="21" width="12" hidden="1" customWidth="1" outlineLevel="1"/>
    <col min="22" max="22" width="11.32421875" hidden="1" customWidth="1" outlineLevel="1"/>
    <col min="23" max="24" width="7.68359375" hidden="1" customWidth="1" outlineLevel="1"/>
    <col min="25" max="25" width="10.515625" hidden="1" customWidth="1" outlineLevel="1"/>
    <col min="26" max="27" width="7.68359375" hidden="1" customWidth="1" outlineLevel="1"/>
    <col min="28" max="28" width="12.13671875" hidden="1" customWidth="1" outlineLevel="1"/>
    <col min="29" max="29" width="16.1796875" customWidth="1" collapsed="1"/>
    <col min="30" max="30" width="12.9453125" hidden="1" customWidth="1" outlineLevel="1"/>
    <col min="31" max="31" width="13.34765625" hidden="1" customWidth="1" outlineLevel="1"/>
    <col min="32" max="32" width="13.078125" hidden="1" customWidth="1" outlineLevel="1"/>
    <col min="33" max="33" width="12.80859375" hidden="1" customWidth="1" outlineLevel="1"/>
    <col min="34" max="35" width="13.078125" hidden="1" customWidth="1" outlineLevel="1"/>
    <col min="36" max="36" width="12.9453125" hidden="1" customWidth="1" outlineLevel="1"/>
    <col min="37" max="38" width="13.078125" hidden="1" customWidth="1" outlineLevel="1"/>
    <col min="39" max="39" width="13.34765625" hidden="1" customWidth="1" outlineLevel="1"/>
    <col min="40" max="40" width="13.484375" hidden="1" customWidth="1" outlineLevel="1"/>
    <col min="41" max="41" width="13.34765625" hidden="1" customWidth="1" outlineLevel="1"/>
  </cols>
  <sheetData>
    <row r="1" spans="1:41" ht="42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8" customHeight="1" x14ac:dyDescent="0.15">
      <c r="A2" s="161" t="s">
        <v>54</v>
      </c>
      <c r="B2" s="162"/>
      <c r="C2" s="162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3.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ht="13.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ht="21.75" x14ac:dyDescent="0.45">
      <c r="A5" s="1" t="s">
        <v>99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36" x14ac:dyDescent="0.4">
      <c r="A6" s="56" t="s">
        <v>100</v>
      </c>
      <c r="B6" s="56" t="s">
        <v>101</v>
      </c>
      <c r="C6" s="57">
        <v>45291</v>
      </c>
      <c r="D6" s="60">
        <v>44927</v>
      </c>
      <c r="E6" s="60">
        <v>44958</v>
      </c>
      <c r="F6" s="58">
        <v>44986</v>
      </c>
      <c r="G6" s="58">
        <v>45017</v>
      </c>
      <c r="H6" s="58">
        <v>45047</v>
      </c>
      <c r="I6" s="58">
        <v>45078</v>
      </c>
      <c r="J6" s="58">
        <v>45108</v>
      </c>
      <c r="K6" s="58">
        <v>45139</v>
      </c>
      <c r="L6" s="58">
        <v>45170</v>
      </c>
      <c r="M6" s="58">
        <v>45200</v>
      </c>
      <c r="N6" s="58">
        <v>45231</v>
      </c>
      <c r="O6" s="58">
        <v>45261</v>
      </c>
      <c r="P6" s="84">
        <v>2024</v>
      </c>
      <c r="Q6" s="60">
        <v>45292</v>
      </c>
      <c r="R6" s="60">
        <v>45323</v>
      </c>
      <c r="S6" s="60">
        <v>45352</v>
      </c>
      <c r="T6" s="60">
        <v>45383</v>
      </c>
      <c r="U6" s="60">
        <v>45413</v>
      </c>
      <c r="V6" s="60">
        <v>45444</v>
      </c>
      <c r="W6" s="60">
        <v>45474</v>
      </c>
      <c r="X6" s="60">
        <v>45505</v>
      </c>
      <c r="Y6" s="60">
        <v>45536</v>
      </c>
      <c r="Z6" s="60">
        <v>45566</v>
      </c>
      <c r="AA6" s="60">
        <v>45597</v>
      </c>
      <c r="AB6" s="60">
        <v>45627</v>
      </c>
      <c r="AC6" s="84">
        <v>2025</v>
      </c>
      <c r="AD6" s="60">
        <v>45658</v>
      </c>
      <c r="AE6" s="60">
        <v>45689</v>
      </c>
      <c r="AF6" s="60">
        <v>45717</v>
      </c>
      <c r="AG6" s="60">
        <v>45748</v>
      </c>
      <c r="AH6" s="60">
        <v>45778</v>
      </c>
      <c r="AI6" s="60">
        <v>45809</v>
      </c>
      <c r="AJ6" s="60">
        <v>45839</v>
      </c>
      <c r="AK6" s="60">
        <v>45870</v>
      </c>
      <c r="AL6" s="60">
        <v>45901</v>
      </c>
      <c r="AM6" s="60">
        <v>45931</v>
      </c>
      <c r="AN6" s="60">
        <v>45962</v>
      </c>
      <c r="AO6" s="60">
        <v>45992</v>
      </c>
    </row>
    <row r="7" spans="1:41" ht="17.25" x14ac:dyDescent="0.3">
      <c r="A7" s="91" t="s">
        <v>102</v>
      </c>
      <c r="B7" s="92"/>
      <c r="C7" s="64">
        <v>0</v>
      </c>
      <c r="D7" s="64">
        <f>C7</f>
        <v>0</v>
      </c>
      <c r="E7" s="92">
        <f t="shared" ref="E7:O7" si="0">D53</f>
        <v>0</v>
      </c>
      <c r="F7" s="92">
        <f t="shared" si="0"/>
        <v>0</v>
      </c>
      <c r="G7" s="92">
        <f t="shared" si="0"/>
        <v>0</v>
      </c>
      <c r="H7" s="92">
        <f t="shared" si="0"/>
        <v>6528000</v>
      </c>
      <c r="I7" s="92">
        <f t="shared" si="0"/>
        <v>43543682.013439991</v>
      </c>
      <c r="J7" s="92">
        <f t="shared" si="0"/>
        <v>67437711.360639989</v>
      </c>
      <c r="K7" s="92">
        <f t="shared" si="0"/>
        <v>110503252.44671997</v>
      </c>
      <c r="L7" s="92">
        <f t="shared" si="0"/>
        <v>112111549.40223998</v>
      </c>
      <c r="M7" s="92">
        <f t="shared" si="0"/>
        <v>98533840.488319948</v>
      </c>
      <c r="N7" s="92">
        <f t="shared" si="0"/>
        <v>130295399.18271995</v>
      </c>
      <c r="O7" s="92">
        <f t="shared" si="0"/>
        <v>162275707.87711996</v>
      </c>
      <c r="P7" s="64">
        <f>C53</f>
        <v>194256016.57151994</v>
      </c>
      <c r="Q7" s="92">
        <f>O53</f>
        <v>194256016.57151997</v>
      </c>
      <c r="R7" s="92">
        <f t="shared" ref="R7:AC7" si="1">Q53</f>
        <v>176439018.40191996</v>
      </c>
      <c r="S7" s="92">
        <f t="shared" si="1"/>
        <v>192004480.59839997</v>
      </c>
      <c r="T7" s="92">
        <f t="shared" si="1"/>
        <v>257774883.34399992</v>
      </c>
      <c r="U7" s="92">
        <f t="shared" si="1"/>
        <v>261321829.22559988</v>
      </c>
      <c r="V7" s="92">
        <f t="shared" si="1"/>
        <v>269868775.10719985</v>
      </c>
      <c r="W7" s="92">
        <f t="shared" si="1"/>
        <v>337527720.98879981</v>
      </c>
      <c r="X7" s="92">
        <f t="shared" si="1"/>
        <v>368690663.36831975</v>
      </c>
      <c r="Y7" s="92">
        <f t="shared" si="1"/>
        <v>383118625.56479979</v>
      </c>
      <c r="Z7" s="92">
        <f t="shared" si="1"/>
        <v>389089528.31039977</v>
      </c>
      <c r="AA7" s="92">
        <f t="shared" si="1"/>
        <v>428530391.42207974</v>
      </c>
      <c r="AB7" s="92">
        <f t="shared" si="1"/>
        <v>459514195.08287972</v>
      </c>
      <c r="AC7" s="92">
        <f t="shared" si="1"/>
        <v>523967959.10975969</v>
      </c>
      <c r="AD7" s="92">
        <f>AB53</f>
        <v>523967959.10975969</v>
      </c>
      <c r="AE7" s="92">
        <f t="shared" ref="AE7:AO7" si="2">AD53</f>
        <v>224952878.43199986</v>
      </c>
      <c r="AF7" s="92">
        <f t="shared" si="2"/>
        <v>267658513.72799981</v>
      </c>
      <c r="AG7" s="92">
        <f t="shared" si="2"/>
        <v>284545759.84767979</v>
      </c>
      <c r="AH7" s="92">
        <f t="shared" si="2"/>
        <v>382979533.02655983</v>
      </c>
      <c r="AI7" s="92">
        <f t="shared" si="2"/>
        <v>413467222.44095975</v>
      </c>
      <c r="AJ7" s="92">
        <f t="shared" si="2"/>
        <v>450755133.50271982</v>
      </c>
      <c r="AK7" s="92">
        <f t="shared" si="2"/>
        <v>501643487.85919982</v>
      </c>
      <c r="AL7" s="92">
        <f t="shared" si="2"/>
        <v>608259980.09855974</v>
      </c>
      <c r="AM7" s="92">
        <f t="shared" si="2"/>
        <v>728476915.63263953</v>
      </c>
      <c r="AN7" s="92">
        <f t="shared" si="2"/>
        <v>845984989.04959941</v>
      </c>
      <c r="AO7" s="92">
        <f t="shared" si="2"/>
        <v>951275116.58495939</v>
      </c>
    </row>
    <row r="8" spans="1:41" ht="17.25" x14ac:dyDescent="0.3">
      <c r="A8" s="91" t="s">
        <v>103</v>
      </c>
      <c r="B8" s="93"/>
      <c r="C8" s="92">
        <f t="shared" ref="C8:C51" si="3">SUM(D8:O8)</f>
        <v>93083353.800959885</v>
      </c>
      <c r="D8" s="93">
        <f t="shared" ref="D8:AB8" si="4">D9-D12</f>
        <v>0</v>
      </c>
      <c r="E8" s="93">
        <f t="shared" si="4"/>
        <v>0</v>
      </c>
      <c r="F8" s="93">
        <f t="shared" si="4"/>
        <v>0</v>
      </c>
      <c r="G8" s="93">
        <f t="shared" si="4"/>
        <v>-63472000</v>
      </c>
      <c r="H8" s="93">
        <f t="shared" si="4"/>
        <v>-29387140.549120009</v>
      </c>
      <c r="I8" s="93">
        <f t="shared" si="4"/>
        <v>-35121851.372800007</v>
      </c>
      <c r="J8" s="93">
        <f t="shared" si="4"/>
        <v>55825008.078079984</v>
      </c>
      <c r="K8" s="93">
        <f t="shared" si="4"/>
        <v>16005437.803519994</v>
      </c>
      <c r="L8" s="93">
        <f t="shared" si="4"/>
        <v>-1036991.9219200313</v>
      </c>
      <c r="M8" s="93">
        <f t="shared" si="4"/>
        <v>50090297.254399985</v>
      </c>
      <c r="N8" s="93">
        <f t="shared" si="4"/>
        <v>50090297.254399985</v>
      </c>
      <c r="O8" s="93">
        <f t="shared" si="4"/>
        <v>50090297.254399985</v>
      </c>
      <c r="P8" s="92">
        <f t="shared" si="4"/>
        <v>604589680.30463982</v>
      </c>
      <c r="Q8" s="93">
        <f t="shared" si="4"/>
        <v>-14384702.745600015</v>
      </c>
      <c r="R8" s="93">
        <f t="shared" si="4"/>
        <v>20787956.705280006</v>
      </c>
      <c r="S8" s="93">
        <f t="shared" si="4"/>
        <v>73546945.881599963</v>
      </c>
      <c r="T8" s="93">
        <f t="shared" si="4"/>
        <v>73546945.881599963</v>
      </c>
      <c r="U8" s="93">
        <f t="shared" si="4"/>
        <v>73546945.881599963</v>
      </c>
      <c r="V8" s="93">
        <f t="shared" si="4"/>
        <v>132658945.88159996</v>
      </c>
      <c r="W8" s="93">
        <f t="shared" si="4"/>
        <v>38374286.430719912</v>
      </c>
      <c r="X8" s="93">
        <f t="shared" si="4"/>
        <v>20787956.705280006</v>
      </c>
      <c r="Y8" s="93">
        <f t="shared" si="4"/>
        <v>14434945.881599963</v>
      </c>
      <c r="Z8" s="93">
        <f t="shared" si="4"/>
        <v>49607605.332479954</v>
      </c>
      <c r="AA8" s="93">
        <f t="shared" si="4"/>
        <v>43254594.50879997</v>
      </c>
      <c r="AB8" s="93">
        <f t="shared" si="4"/>
        <v>78427253.959679961</v>
      </c>
      <c r="AC8" s="92">
        <f t="shared" ref="AC8:AC51" si="5">SUM(AD8:AO8)</f>
        <v>1532418889.3823986</v>
      </c>
      <c r="AD8" s="93">
        <f t="shared" ref="AD8:AO8" si="6">AD9-AD12</f>
        <v>123810243.13599992</v>
      </c>
      <c r="AE8" s="93">
        <f t="shared" si="6"/>
        <v>64698243.135999918</v>
      </c>
      <c r="AF8" s="93">
        <f t="shared" si="6"/>
        <v>40758902.586879969</v>
      </c>
      <c r="AG8" s="93">
        <f t="shared" si="6"/>
        <v>128690551.21407998</v>
      </c>
      <c r="AH8" s="93">
        <f t="shared" si="6"/>
        <v>63225540.390399933</v>
      </c>
      <c r="AI8" s="93">
        <f t="shared" si="6"/>
        <v>74458859.292160034</v>
      </c>
      <c r="AJ8" s="93">
        <f t="shared" si="6"/>
        <v>96925497.095679998</v>
      </c>
      <c r="AK8" s="93">
        <f t="shared" si="6"/>
        <v>160917805.17375994</v>
      </c>
      <c r="AL8" s="93">
        <f t="shared" si="6"/>
        <v>183384442.97727966</v>
      </c>
      <c r="AM8" s="93">
        <f t="shared" si="6"/>
        <v>188264751.05535984</v>
      </c>
      <c r="AN8" s="93">
        <f t="shared" si="6"/>
        <v>186792048.30975986</v>
      </c>
      <c r="AO8" s="93">
        <f t="shared" si="6"/>
        <v>220492005.01503968</v>
      </c>
    </row>
    <row r="9" spans="1:41" ht="17.25" x14ac:dyDescent="0.3">
      <c r="A9" s="94" t="s">
        <v>104</v>
      </c>
      <c r="B9" s="95"/>
      <c r="C9" s="96">
        <f t="shared" si="3"/>
        <v>1486800000</v>
      </c>
      <c r="D9" s="97">
        <f t="shared" ref="D9:O9" si="7">D10+D11</f>
        <v>0</v>
      </c>
      <c r="E9" s="97">
        <f t="shared" si="7"/>
        <v>0</v>
      </c>
      <c r="F9" s="97">
        <f t="shared" si="7"/>
        <v>0</v>
      </c>
      <c r="G9" s="97">
        <f t="shared" si="7"/>
        <v>0</v>
      </c>
      <c r="H9" s="97">
        <f t="shared" si="7"/>
        <v>50400000</v>
      </c>
      <c r="I9" s="97">
        <f t="shared" si="7"/>
        <v>125999999.99999999</v>
      </c>
      <c r="J9" s="97">
        <f t="shared" si="7"/>
        <v>176399999.99999997</v>
      </c>
      <c r="K9" s="97">
        <f t="shared" si="7"/>
        <v>201600000</v>
      </c>
      <c r="L9" s="97">
        <f t="shared" si="7"/>
        <v>176399999.99999997</v>
      </c>
      <c r="M9" s="97">
        <f t="shared" si="7"/>
        <v>251999999.99999997</v>
      </c>
      <c r="N9" s="97">
        <f t="shared" si="7"/>
        <v>251999999.99999997</v>
      </c>
      <c r="O9" s="97">
        <f t="shared" si="7"/>
        <v>251999999.99999997</v>
      </c>
      <c r="P9" s="96">
        <f t="shared" ref="P9:P51" si="8">SUM(Q9:AB9)</f>
        <v>4561200000</v>
      </c>
      <c r="Q9" s="97">
        <f t="shared" ref="Q9:AB9" si="9">Q10+Q11</f>
        <v>251999999.99999997</v>
      </c>
      <c r="R9" s="97">
        <f t="shared" si="9"/>
        <v>302400000</v>
      </c>
      <c r="S9" s="97">
        <f t="shared" si="9"/>
        <v>377999999.99999994</v>
      </c>
      <c r="T9" s="97">
        <f t="shared" si="9"/>
        <v>377999999.99999994</v>
      </c>
      <c r="U9" s="97">
        <f t="shared" si="9"/>
        <v>377999999.99999994</v>
      </c>
      <c r="V9" s="97">
        <f t="shared" si="9"/>
        <v>377999999.99999994</v>
      </c>
      <c r="W9" s="97">
        <f t="shared" si="9"/>
        <v>327599999.99999994</v>
      </c>
      <c r="X9" s="97">
        <f t="shared" si="9"/>
        <v>302400000</v>
      </c>
      <c r="Y9" s="97">
        <f t="shared" si="9"/>
        <v>377999999.99999994</v>
      </c>
      <c r="Z9" s="97">
        <f t="shared" si="9"/>
        <v>428399999.99999994</v>
      </c>
      <c r="AA9" s="97">
        <f t="shared" si="9"/>
        <v>503999999.99999994</v>
      </c>
      <c r="AB9" s="97">
        <f t="shared" si="9"/>
        <v>554400000</v>
      </c>
      <c r="AC9" s="96">
        <f t="shared" si="5"/>
        <v>14742000000</v>
      </c>
      <c r="AD9" s="97">
        <f t="shared" ref="AD9:AO9" si="10">AD10+AD11</f>
        <v>629999999.99999988</v>
      </c>
      <c r="AE9" s="97">
        <f t="shared" si="10"/>
        <v>629999999.99999988</v>
      </c>
      <c r="AF9" s="97">
        <f t="shared" si="10"/>
        <v>680400000</v>
      </c>
      <c r="AG9" s="97">
        <f t="shared" si="10"/>
        <v>806400000</v>
      </c>
      <c r="AH9" s="97">
        <f t="shared" si="10"/>
        <v>881999999.99999988</v>
      </c>
      <c r="AI9" s="97">
        <f t="shared" si="10"/>
        <v>982800000</v>
      </c>
      <c r="AJ9" s="97">
        <f t="shared" si="10"/>
        <v>1184399999.9999998</v>
      </c>
      <c r="AK9" s="97">
        <f t="shared" si="10"/>
        <v>1360800000</v>
      </c>
      <c r="AL9" s="97">
        <f t="shared" si="10"/>
        <v>1562399999.9999995</v>
      </c>
      <c r="AM9" s="97">
        <f t="shared" si="10"/>
        <v>1738800000</v>
      </c>
      <c r="AN9" s="97">
        <f t="shared" si="10"/>
        <v>1990799999.9999998</v>
      </c>
      <c r="AO9" s="97">
        <f t="shared" si="10"/>
        <v>2293199999.9999995</v>
      </c>
    </row>
    <row r="10" spans="1:41" ht="17.25" outlineLevel="1" x14ac:dyDescent="0.3">
      <c r="A10" s="98" t="str">
        <f>'ДАННЫЕ СПРАВОЧНЫЕ'!A3</f>
        <v>Wildberries</v>
      </c>
      <c r="B10" s="99"/>
      <c r="C10" s="100">
        <f t="shared" si="3"/>
        <v>743400000</v>
      </c>
      <c r="D10" s="101">
        <f>ЗАКУП!D55</f>
        <v>0</v>
      </c>
      <c r="E10" s="101">
        <f>ЗАКУП!E55</f>
        <v>0</v>
      </c>
      <c r="F10" s="101">
        <f>ЗАКУП!F55</f>
        <v>0</v>
      </c>
      <c r="G10" s="101">
        <f>ЗАКУП!G55</f>
        <v>0</v>
      </c>
      <c r="H10" s="101">
        <f>ЗАКУП!H55</f>
        <v>25200000</v>
      </c>
      <c r="I10" s="101">
        <f>ЗАКУП!I55</f>
        <v>62999999.999999993</v>
      </c>
      <c r="J10" s="101">
        <f>ЗАКУП!J55</f>
        <v>88199999.999999985</v>
      </c>
      <c r="K10" s="101">
        <f>ЗАКУП!K55</f>
        <v>100800000</v>
      </c>
      <c r="L10" s="101">
        <f>ЗАКУП!L55</f>
        <v>88199999.999999985</v>
      </c>
      <c r="M10" s="101">
        <f>ЗАКУП!M55</f>
        <v>125999999.99999999</v>
      </c>
      <c r="N10" s="101">
        <f>ЗАКУП!N55</f>
        <v>125999999.99999999</v>
      </c>
      <c r="O10" s="101">
        <f>ЗАКУП!O55</f>
        <v>125999999.99999999</v>
      </c>
      <c r="P10" s="100">
        <f t="shared" si="8"/>
        <v>2280600000</v>
      </c>
      <c r="Q10" s="101">
        <f>ЗАКУП!Q55</f>
        <v>125999999.99999999</v>
      </c>
      <c r="R10" s="101">
        <f>ЗАКУП!R55</f>
        <v>151200000</v>
      </c>
      <c r="S10" s="101">
        <f>ЗАКУП!S55</f>
        <v>188999999.99999997</v>
      </c>
      <c r="T10" s="101">
        <f>ЗАКУП!T55</f>
        <v>188999999.99999997</v>
      </c>
      <c r="U10" s="101">
        <f>ЗАКУП!U55</f>
        <v>188999999.99999997</v>
      </c>
      <c r="V10" s="101">
        <f>ЗАКУП!V55</f>
        <v>188999999.99999997</v>
      </c>
      <c r="W10" s="101">
        <f>ЗАКУП!W55</f>
        <v>163799999.99999997</v>
      </c>
      <c r="X10" s="101">
        <f>ЗАКУП!X55</f>
        <v>151200000</v>
      </c>
      <c r="Y10" s="101">
        <f>ЗАКУП!Y55</f>
        <v>188999999.99999997</v>
      </c>
      <c r="Z10" s="101">
        <f>ЗАКУП!Z55</f>
        <v>214199999.99999997</v>
      </c>
      <c r="AA10" s="101">
        <f>ЗАКУП!AA55</f>
        <v>251999999.99999997</v>
      </c>
      <c r="AB10" s="101">
        <f>ЗАКУП!AB55</f>
        <v>277200000</v>
      </c>
      <c r="AC10" s="100">
        <f t="shared" si="5"/>
        <v>7371000000</v>
      </c>
      <c r="AD10" s="101">
        <f>ЗАКУП!AD55</f>
        <v>314999999.99999994</v>
      </c>
      <c r="AE10" s="101">
        <f>ЗАКУП!AE55</f>
        <v>314999999.99999994</v>
      </c>
      <c r="AF10" s="101">
        <f>ЗАКУП!AF55</f>
        <v>340200000</v>
      </c>
      <c r="AG10" s="101">
        <f>ЗАКУП!AG55</f>
        <v>403200000</v>
      </c>
      <c r="AH10" s="101">
        <f>ЗАКУП!AH55</f>
        <v>440999999.99999994</v>
      </c>
      <c r="AI10" s="101">
        <f>ЗАКУП!AI55</f>
        <v>491400000</v>
      </c>
      <c r="AJ10" s="101">
        <f>ЗАКУП!AJ55</f>
        <v>592199999.99999988</v>
      </c>
      <c r="AK10" s="101">
        <f>ЗАКУП!AK55</f>
        <v>680400000</v>
      </c>
      <c r="AL10" s="101">
        <f>ЗАКУП!AL55</f>
        <v>781199999.99999976</v>
      </c>
      <c r="AM10" s="101">
        <f>ЗАКУП!AM55</f>
        <v>869400000</v>
      </c>
      <c r="AN10" s="101">
        <f>ЗАКУП!AN55</f>
        <v>995399999.99999988</v>
      </c>
      <c r="AO10" s="101">
        <f>ЗАКУП!AO55</f>
        <v>1146599999.9999998</v>
      </c>
    </row>
    <row r="11" spans="1:41" ht="17.25" outlineLevel="1" x14ac:dyDescent="0.3">
      <c r="A11" s="98" t="str">
        <f>'ДАННЫЕ СПРАВОЧНЫЕ'!A4</f>
        <v>Kaspi</v>
      </c>
      <c r="B11" s="99"/>
      <c r="C11" s="100">
        <f t="shared" si="3"/>
        <v>743400000</v>
      </c>
      <c r="D11" s="101">
        <f>ЗАКУП!D56</f>
        <v>0</v>
      </c>
      <c r="E11" s="101">
        <f>ЗАКУП!E56</f>
        <v>0</v>
      </c>
      <c r="F11" s="101">
        <f>ЗАКУП!F56</f>
        <v>0</v>
      </c>
      <c r="G11" s="101">
        <f>ЗАКУП!G56</f>
        <v>0</v>
      </c>
      <c r="H11" s="101">
        <f>ЗАКУП!H56</f>
        <v>25200000</v>
      </c>
      <c r="I11" s="101">
        <f>ЗАКУП!I56</f>
        <v>62999999.999999993</v>
      </c>
      <c r="J11" s="101">
        <f>ЗАКУП!J56</f>
        <v>88199999.999999985</v>
      </c>
      <c r="K11" s="101">
        <f>ЗАКУП!K56</f>
        <v>100800000</v>
      </c>
      <c r="L11" s="101">
        <f>ЗАКУП!L56</f>
        <v>88199999.999999985</v>
      </c>
      <c r="M11" s="101">
        <f>ЗАКУП!M56</f>
        <v>125999999.99999999</v>
      </c>
      <c r="N11" s="101">
        <f>ЗАКУП!N56</f>
        <v>125999999.99999999</v>
      </c>
      <c r="O11" s="101">
        <f>ЗАКУП!O56</f>
        <v>125999999.99999999</v>
      </c>
      <c r="P11" s="100">
        <f t="shared" si="8"/>
        <v>2280600000</v>
      </c>
      <c r="Q11" s="101">
        <f>ЗАКУП!Q56</f>
        <v>125999999.99999999</v>
      </c>
      <c r="R11" s="101">
        <f>ЗАКУП!R56</f>
        <v>151200000</v>
      </c>
      <c r="S11" s="101">
        <f>ЗАКУП!S56</f>
        <v>188999999.99999997</v>
      </c>
      <c r="T11" s="101">
        <f>ЗАКУП!T56</f>
        <v>188999999.99999997</v>
      </c>
      <c r="U11" s="101">
        <f>ЗАКУП!U56</f>
        <v>188999999.99999997</v>
      </c>
      <c r="V11" s="101">
        <f>ЗАКУП!V56</f>
        <v>188999999.99999997</v>
      </c>
      <c r="W11" s="101">
        <f>ЗАКУП!W56</f>
        <v>163799999.99999997</v>
      </c>
      <c r="X11" s="101">
        <f>ЗАКУП!X56</f>
        <v>151200000</v>
      </c>
      <c r="Y11" s="101">
        <f>ЗАКУП!Y56</f>
        <v>188999999.99999997</v>
      </c>
      <c r="Z11" s="101">
        <f>ЗАКУП!Z56</f>
        <v>214199999.99999997</v>
      </c>
      <c r="AA11" s="101">
        <f>ЗАКУП!AA56</f>
        <v>251999999.99999997</v>
      </c>
      <c r="AB11" s="101">
        <f>ЗАКУП!AB56</f>
        <v>277200000</v>
      </c>
      <c r="AC11" s="100">
        <f t="shared" si="5"/>
        <v>7371000000</v>
      </c>
      <c r="AD11" s="101">
        <f>ЗАКУП!AD56</f>
        <v>314999999.99999994</v>
      </c>
      <c r="AE11" s="101">
        <f>ЗАКУП!AE56</f>
        <v>314999999.99999994</v>
      </c>
      <c r="AF11" s="101">
        <f>ЗАКУП!AF56</f>
        <v>340200000</v>
      </c>
      <c r="AG11" s="101">
        <f>ЗАКУП!AG56</f>
        <v>403200000</v>
      </c>
      <c r="AH11" s="101">
        <f>ЗАКУП!AH56</f>
        <v>440999999.99999994</v>
      </c>
      <c r="AI11" s="101">
        <f>ЗАКУП!AI56</f>
        <v>491400000</v>
      </c>
      <c r="AJ11" s="101">
        <f>ЗАКУП!AJ56</f>
        <v>592199999.99999988</v>
      </c>
      <c r="AK11" s="101">
        <f>ЗАКУП!AK56</f>
        <v>680400000</v>
      </c>
      <c r="AL11" s="101">
        <f>ЗАКУП!AL56</f>
        <v>781199999.99999976</v>
      </c>
      <c r="AM11" s="101">
        <f>ЗАКУП!AM56</f>
        <v>869400000</v>
      </c>
      <c r="AN11" s="101">
        <f>ЗАКУП!AN56</f>
        <v>995399999.99999988</v>
      </c>
      <c r="AO11" s="101">
        <f>ЗАКУП!AO56</f>
        <v>1146599999.9999998</v>
      </c>
    </row>
    <row r="12" spans="1:41" ht="17.25" x14ac:dyDescent="0.3">
      <c r="A12" s="102" t="s">
        <v>105</v>
      </c>
      <c r="B12" s="99"/>
      <c r="C12" s="96">
        <f t="shared" si="3"/>
        <v>1393716646.1990399</v>
      </c>
      <c r="D12" s="100">
        <f t="shared" ref="D12:O12" si="11">D25+D17+D13</f>
        <v>0</v>
      </c>
      <c r="E12" s="100">
        <f t="shared" si="11"/>
        <v>0</v>
      </c>
      <c r="F12" s="100">
        <f t="shared" si="11"/>
        <v>0</v>
      </c>
      <c r="G12" s="100">
        <f t="shared" si="11"/>
        <v>63472000</v>
      </c>
      <c r="H12" s="100">
        <f t="shared" si="11"/>
        <v>79787140.549120009</v>
      </c>
      <c r="I12" s="100">
        <f t="shared" si="11"/>
        <v>161121851.37279999</v>
      </c>
      <c r="J12" s="100">
        <f t="shared" si="11"/>
        <v>120574991.92191999</v>
      </c>
      <c r="K12" s="100">
        <f t="shared" si="11"/>
        <v>185594562.19648001</v>
      </c>
      <c r="L12" s="100">
        <f t="shared" si="11"/>
        <v>177436991.92192</v>
      </c>
      <c r="M12" s="100">
        <f t="shared" si="11"/>
        <v>201909702.74559999</v>
      </c>
      <c r="N12" s="100">
        <f t="shared" si="11"/>
        <v>201909702.74559999</v>
      </c>
      <c r="O12" s="100">
        <f t="shared" si="11"/>
        <v>201909702.74559999</v>
      </c>
      <c r="P12" s="96">
        <f t="shared" si="8"/>
        <v>3956610319.6953602</v>
      </c>
      <c r="Q12" s="100">
        <f t="shared" ref="Q12:AB12" si="12">Q25+Q17+Q13</f>
        <v>266384702.74559999</v>
      </c>
      <c r="R12" s="100">
        <f t="shared" si="12"/>
        <v>281612043.29471999</v>
      </c>
      <c r="S12" s="100">
        <f t="shared" si="12"/>
        <v>304453054.11839998</v>
      </c>
      <c r="T12" s="100">
        <f t="shared" si="12"/>
        <v>304453054.11839998</v>
      </c>
      <c r="U12" s="100">
        <f t="shared" si="12"/>
        <v>304453054.11839998</v>
      </c>
      <c r="V12" s="100">
        <f t="shared" si="12"/>
        <v>245341054.11839998</v>
      </c>
      <c r="W12" s="100">
        <f t="shared" si="12"/>
        <v>289225713.56928003</v>
      </c>
      <c r="X12" s="100">
        <f t="shared" si="12"/>
        <v>281612043.29471999</v>
      </c>
      <c r="Y12" s="100">
        <f t="shared" si="12"/>
        <v>363565054.11839998</v>
      </c>
      <c r="Z12" s="100">
        <f t="shared" si="12"/>
        <v>378792394.66751999</v>
      </c>
      <c r="AA12" s="100">
        <f t="shared" si="12"/>
        <v>460745405.49119997</v>
      </c>
      <c r="AB12" s="100">
        <f t="shared" si="12"/>
        <v>475972746.04032004</v>
      </c>
      <c r="AC12" s="96">
        <f t="shared" si="5"/>
        <v>13209581110.617601</v>
      </c>
      <c r="AD12" s="100">
        <f t="shared" ref="AD12:AO12" si="13">AD25+AD17+AD13</f>
        <v>506189756.86399996</v>
      </c>
      <c r="AE12" s="100">
        <f t="shared" si="13"/>
        <v>565301756.86399996</v>
      </c>
      <c r="AF12" s="100">
        <f t="shared" si="13"/>
        <v>639641097.41312003</v>
      </c>
      <c r="AG12" s="100">
        <f t="shared" si="13"/>
        <v>677709448.78592002</v>
      </c>
      <c r="AH12" s="100">
        <f t="shared" si="13"/>
        <v>818774459.60959995</v>
      </c>
      <c r="AI12" s="100">
        <f t="shared" si="13"/>
        <v>908341140.70783997</v>
      </c>
      <c r="AJ12" s="100">
        <f t="shared" si="13"/>
        <v>1087474502.9043198</v>
      </c>
      <c r="AK12" s="100">
        <f t="shared" si="13"/>
        <v>1199882194.8262401</v>
      </c>
      <c r="AL12" s="100">
        <f t="shared" si="13"/>
        <v>1379015557.0227199</v>
      </c>
      <c r="AM12" s="100">
        <f t="shared" si="13"/>
        <v>1550535248.9446402</v>
      </c>
      <c r="AN12" s="100">
        <f t="shared" si="13"/>
        <v>1804007951.6902399</v>
      </c>
      <c r="AO12" s="100">
        <f t="shared" si="13"/>
        <v>2072707994.9849598</v>
      </c>
    </row>
    <row r="13" spans="1:41" ht="17.25" outlineLevel="1" collapsed="1" x14ac:dyDescent="0.3">
      <c r="A13" s="98" t="s">
        <v>106</v>
      </c>
      <c r="B13" s="99"/>
      <c r="C13" s="100">
        <f t="shared" si="3"/>
        <v>852930000</v>
      </c>
      <c r="D13" s="101">
        <f t="shared" ref="D13:O13" si="14">D14+D15+D16</f>
        <v>0</v>
      </c>
      <c r="E13" s="101">
        <f t="shared" si="14"/>
        <v>0</v>
      </c>
      <c r="F13" s="101">
        <f t="shared" si="14"/>
        <v>0</v>
      </c>
      <c r="G13" s="101">
        <f t="shared" si="14"/>
        <v>56862000</v>
      </c>
      <c r="H13" s="101">
        <f t="shared" si="14"/>
        <v>56862000</v>
      </c>
      <c r="I13" s="101">
        <f t="shared" si="14"/>
        <v>113724000</v>
      </c>
      <c r="J13" s="101">
        <f t="shared" si="14"/>
        <v>56862000</v>
      </c>
      <c r="K13" s="101">
        <f t="shared" si="14"/>
        <v>113724000</v>
      </c>
      <c r="L13" s="101">
        <f t="shared" si="14"/>
        <v>113724000</v>
      </c>
      <c r="M13" s="101">
        <f t="shared" si="14"/>
        <v>113724000</v>
      </c>
      <c r="N13" s="101">
        <f t="shared" si="14"/>
        <v>113724000</v>
      </c>
      <c r="O13" s="101">
        <f t="shared" si="14"/>
        <v>113724000</v>
      </c>
      <c r="P13" s="100">
        <f t="shared" si="8"/>
        <v>2331342000</v>
      </c>
      <c r="Q13" s="101">
        <f t="shared" ref="Q13:AB13" si="15">Q14+Q15+Q16</f>
        <v>170586000</v>
      </c>
      <c r="R13" s="101">
        <f t="shared" si="15"/>
        <v>170586000</v>
      </c>
      <c r="S13" s="101">
        <f t="shared" si="15"/>
        <v>170586000</v>
      </c>
      <c r="T13" s="101">
        <f t="shared" si="15"/>
        <v>170586000</v>
      </c>
      <c r="U13" s="101">
        <f t="shared" si="15"/>
        <v>170586000</v>
      </c>
      <c r="V13" s="101">
        <f t="shared" si="15"/>
        <v>113724000</v>
      </c>
      <c r="W13" s="101">
        <f t="shared" si="15"/>
        <v>170586000</v>
      </c>
      <c r="X13" s="101">
        <f t="shared" si="15"/>
        <v>170586000</v>
      </c>
      <c r="Y13" s="101">
        <f t="shared" si="15"/>
        <v>227448000</v>
      </c>
      <c r="Z13" s="101">
        <f t="shared" si="15"/>
        <v>227448000</v>
      </c>
      <c r="AA13" s="101">
        <f t="shared" si="15"/>
        <v>284310000</v>
      </c>
      <c r="AB13" s="101">
        <f t="shared" si="15"/>
        <v>284310000</v>
      </c>
      <c r="AC13" s="100">
        <f t="shared" si="5"/>
        <v>8188128000</v>
      </c>
      <c r="AD13" s="101">
        <f t="shared" ref="AD13:AO13" si="16">AD14+AD15+AD16</f>
        <v>284310000</v>
      </c>
      <c r="AE13" s="101">
        <f t="shared" si="16"/>
        <v>341172000</v>
      </c>
      <c r="AF13" s="101">
        <f t="shared" si="16"/>
        <v>398034000</v>
      </c>
      <c r="AG13" s="101">
        <f t="shared" si="16"/>
        <v>398034000</v>
      </c>
      <c r="AH13" s="101">
        <f t="shared" si="16"/>
        <v>511758000</v>
      </c>
      <c r="AI13" s="101">
        <f t="shared" si="16"/>
        <v>568620000</v>
      </c>
      <c r="AJ13" s="101">
        <f t="shared" si="16"/>
        <v>682344000</v>
      </c>
      <c r="AK13" s="101">
        <f t="shared" si="16"/>
        <v>739206000</v>
      </c>
      <c r="AL13" s="101">
        <f t="shared" si="16"/>
        <v>852930000</v>
      </c>
      <c r="AM13" s="101">
        <f t="shared" si="16"/>
        <v>966654000</v>
      </c>
      <c r="AN13" s="101">
        <f t="shared" si="16"/>
        <v>1137240000</v>
      </c>
      <c r="AO13" s="101">
        <f t="shared" si="16"/>
        <v>1307826000</v>
      </c>
    </row>
    <row r="14" spans="1:41" ht="17.25" hidden="1" outlineLevel="2" x14ac:dyDescent="0.3">
      <c r="A14" s="103" t="str">
        <f>'КАЛЬКУЛЯЦИЯ ПАРТИИ ТОВАРОВ'!A5</f>
        <v>Инвойс цена</v>
      </c>
      <c r="B14" s="99"/>
      <c r="C14" s="104">
        <f t="shared" si="3"/>
        <v>675000000</v>
      </c>
      <c r="D14" s="105">
        <f>ЗАКУП!D6*'КАЛЬКУЛЯЦИЯ ПАРТИИ ТОВАРОВ'!E5</f>
        <v>0</v>
      </c>
      <c r="E14" s="105">
        <f>ЗАКУП!E7</f>
        <v>0</v>
      </c>
      <c r="F14" s="105">
        <f>ЗАКУП!F7</f>
        <v>0</v>
      </c>
      <c r="G14" s="105">
        <f>ЗАКУП!G7</f>
        <v>45000000</v>
      </c>
      <c r="H14" s="105">
        <f>ЗАКУП!H7</f>
        <v>45000000</v>
      </c>
      <c r="I14" s="105">
        <f>ЗАКУП!I7</f>
        <v>90000000</v>
      </c>
      <c r="J14" s="105">
        <f>ЗАКУП!J7</f>
        <v>45000000</v>
      </c>
      <c r="K14" s="105">
        <f>ЗАКУП!K7</f>
        <v>90000000</v>
      </c>
      <c r="L14" s="105">
        <f>ЗАКУП!L7</f>
        <v>90000000</v>
      </c>
      <c r="M14" s="105">
        <f>ЗАКУП!M7</f>
        <v>90000000</v>
      </c>
      <c r="N14" s="105">
        <f>ЗАКУП!N7</f>
        <v>90000000</v>
      </c>
      <c r="O14" s="105">
        <f>ЗАКУП!O7</f>
        <v>90000000</v>
      </c>
      <c r="P14" s="104">
        <f t="shared" si="8"/>
        <v>1845000000</v>
      </c>
      <c r="Q14" s="105">
        <f>ЗАКУП!Q7</f>
        <v>135000000</v>
      </c>
      <c r="R14" s="105">
        <f>ЗАКУП!R7</f>
        <v>135000000</v>
      </c>
      <c r="S14" s="105">
        <f>ЗАКУП!S7</f>
        <v>135000000</v>
      </c>
      <c r="T14" s="105">
        <f>ЗАКУП!T7</f>
        <v>135000000</v>
      </c>
      <c r="U14" s="105">
        <f>ЗАКУП!U7</f>
        <v>135000000</v>
      </c>
      <c r="V14" s="105">
        <f>ЗАКУП!V7</f>
        <v>90000000</v>
      </c>
      <c r="W14" s="105">
        <f>ЗАКУП!W7</f>
        <v>135000000</v>
      </c>
      <c r="X14" s="105">
        <f>ЗАКУП!X7</f>
        <v>135000000</v>
      </c>
      <c r="Y14" s="105">
        <f>ЗАКУП!Y7</f>
        <v>180000000</v>
      </c>
      <c r="Z14" s="105">
        <f>ЗАКУП!Z7</f>
        <v>180000000</v>
      </c>
      <c r="AA14" s="105">
        <f>ЗАКУП!AA7</f>
        <v>225000000</v>
      </c>
      <c r="AB14" s="105">
        <f>ЗАКУП!AB7</f>
        <v>225000000</v>
      </c>
      <c r="AC14" s="104">
        <f t="shared" si="5"/>
        <v>6480000000</v>
      </c>
      <c r="AD14" s="105">
        <f>ЗАКУП!AD7</f>
        <v>225000000</v>
      </c>
      <c r="AE14" s="105">
        <f>ЗАКУП!AE7</f>
        <v>270000000</v>
      </c>
      <c r="AF14" s="105">
        <f>ЗАКУП!AF7</f>
        <v>315000000</v>
      </c>
      <c r="AG14" s="105">
        <f>ЗАКУП!AG7</f>
        <v>315000000</v>
      </c>
      <c r="AH14" s="105">
        <f>ЗАКУП!AH7</f>
        <v>405000000</v>
      </c>
      <c r="AI14" s="105">
        <f>ЗАКУП!AI7</f>
        <v>450000000</v>
      </c>
      <c r="AJ14" s="105">
        <f>ЗАКУП!AJ7</f>
        <v>540000000</v>
      </c>
      <c r="AK14" s="105">
        <f>ЗАКУП!AK7</f>
        <v>585000000</v>
      </c>
      <c r="AL14" s="105">
        <f>ЗАКУП!AL7</f>
        <v>675000000</v>
      </c>
      <c r="AM14" s="105">
        <f>ЗАКУП!AM7</f>
        <v>765000000</v>
      </c>
      <c r="AN14" s="105">
        <f>ЗАКУП!AN7</f>
        <v>900000000</v>
      </c>
      <c r="AO14" s="105">
        <f>ЗАКУП!AO7</f>
        <v>1035000000</v>
      </c>
    </row>
    <row r="15" spans="1:41" ht="17.25" hidden="1" outlineLevel="2" x14ac:dyDescent="0.3">
      <c r="A15" s="103" t="str">
        <f>'КАЛЬКУЛЯЦИЯ ПАРТИИ ТОВАРОВ'!A6</f>
        <v>Доставка до Алматы 14000$</v>
      </c>
      <c r="B15" s="99"/>
      <c r="C15" s="104">
        <f t="shared" si="3"/>
        <v>114750000.00000001</v>
      </c>
      <c r="D15" s="105">
        <f>D14*17%</f>
        <v>0</v>
      </c>
      <c r="E15" s="105">
        <f>(E14*17%)+ЗАКУП!E14*17%</f>
        <v>0</v>
      </c>
      <c r="F15" s="105">
        <f t="shared" ref="F15:O15" si="17">F14*17%</f>
        <v>0</v>
      </c>
      <c r="G15" s="105">
        <f t="shared" si="17"/>
        <v>7650000.0000000009</v>
      </c>
      <c r="H15" s="105">
        <f t="shared" si="17"/>
        <v>7650000.0000000009</v>
      </c>
      <c r="I15" s="105">
        <f t="shared" si="17"/>
        <v>15300000.000000002</v>
      </c>
      <c r="J15" s="105">
        <f t="shared" si="17"/>
        <v>7650000.0000000009</v>
      </c>
      <c r="K15" s="105">
        <f t="shared" si="17"/>
        <v>15300000.000000002</v>
      </c>
      <c r="L15" s="105">
        <f t="shared" si="17"/>
        <v>15300000.000000002</v>
      </c>
      <c r="M15" s="105">
        <f t="shared" si="17"/>
        <v>15300000.000000002</v>
      </c>
      <c r="N15" s="105">
        <f t="shared" si="17"/>
        <v>15300000.000000002</v>
      </c>
      <c r="O15" s="105">
        <f t="shared" si="17"/>
        <v>15300000.000000002</v>
      </c>
      <c r="P15" s="104">
        <f t="shared" si="8"/>
        <v>313650000</v>
      </c>
      <c r="Q15" s="105">
        <f t="shared" ref="Q15:AB15" si="18">Q14*17%</f>
        <v>22950000</v>
      </c>
      <c r="R15" s="105">
        <f t="shared" si="18"/>
        <v>22950000</v>
      </c>
      <c r="S15" s="105">
        <f t="shared" si="18"/>
        <v>22950000</v>
      </c>
      <c r="T15" s="105">
        <f t="shared" si="18"/>
        <v>22950000</v>
      </c>
      <c r="U15" s="105">
        <f t="shared" si="18"/>
        <v>22950000</v>
      </c>
      <c r="V15" s="105">
        <f t="shared" si="18"/>
        <v>15300000.000000002</v>
      </c>
      <c r="W15" s="105">
        <f t="shared" si="18"/>
        <v>22950000</v>
      </c>
      <c r="X15" s="105">
        <f t="shared" si="18"/>
        <v>22950000</v>
      </c>
      <c r="Y15" s="105">
        <f t="shared" si="18"/>
        <v>30600000.000000004</v>
      </c>
      <c r="Z15" s="105">
        <f t="shared" si="18"/>
        <v>30600000.000000004</v>
      </c>
      <c r="AA15" s="105">
        <f t="shared" si="18"/>
        <v>38250000</v>
      </c>
      <c r="AB15" s="105">
        <f t="shared" si="18"/>
        <v>38250000</v>
      </c>
      <c r="AC15" s="104">
        <f t="shared" si="5"/>
        <v>1101600000</v>
      </c>
      <c r="AD15" s="105">
        <f t="shared" ref="AD15:AO15" si="19">AD14*17%</f>
        <v>38250000</v>
      </c>
      <c r="AE15" s="105">
        <f t="shared" si="19"/>
        <v>45900000</v>
      </c>
      <c r="AF15" s="105">
        <f t="shared" si="19"/>
        <v>53550000.000000007</v>
      </c>
      <c r="AG15" s="105">
        <f t="shared" si="19"/>
        <v>53550000.000000007</v>
      </c>
      <c r="AH15" s="105">
        <f t="shared" si="19"/>
        <v>68850000</v>
      </c>
      <c r="AI15" s="105">
        <f t="shared" si="19"/>
        <v>76500000</v>
      </c>
      <c r="AJ15" s="105">
        <f t="shared" si="19"/>
        <v>91800000</v>
      </c>
      <c r="AK15" s="105">
        <f t="shared" si="19"/>
        <v>99450000</v>
      </c>
      <c r="AL15" s="105">
        <f t="shared" si="19"/>
        <v>114750000.00000001</v>
      </c>
      <c r="AM15" s="105">
        <f t="shared" si="19"/>
        <v>130050000.00000001</v>
      </c>
      <c r="AN15" s="105">
        <f t="shared" si="19"/>
        <v>153000000</v>
      </c>
      <c r="AO15" s="105">
        <f t="shared" si="19"/>
        <v>175950000</v>
      </c>
    </row>
    <row r="16" spans="1:41" ht="17.25" hidden="1" outlineLevel="2" x14ac:dyDescent="0.3">
      <c r="A16" s="103" t="str">
        <f>'КАЛЬКУЛЯЦИЯ ПАРТИИ ТОВАРОВ'!A7</f>
        <v>Растоможка  и таможенные пошлины (8%)</v>
      </c>
      <c r="B16" s="99"/>
      <c r="C16" s="104">
        <f t="shared" si="3"/>
        <v>63180000</v>
      </c>
      <c r="D16" s="105">
        <f>(D14+D15)*8%</f>
        <v>0</v>
      </c>
      <c r="E16" s="105">
        <f>(E14+E15+ЗАКУП!E14)*8%</f>
        <v>0</v>
      </c>
      <c r="F16" s="105">
        <f t="shared" ref="F16:O16" si="20">(F14+F15)*8%</f>
        <v>0</v>
      </c>
      <c r="G16" s="105">
        <f t="shared" si="20"/>
        <v>4212000</v>
      </c>
      <c r="H16" s="105">
        <f t="shared" si="20"/>
        <v>4212000</v>
      </c>
      <c r="I16" s="105">
        <f t="shared" si="20"/>
        <v>8424000</v>
      </c>
      <c r="J16" s="105">
        <f t="shared" si="20"/>
        <v>4212000</v>
      </c>
      <c r="K16" s="105">
        <f t="shared" si="20"/>
        <v>8424000</v>
      </c>
      <c r="L16" s="105">
        <f t="shared" si="20"/>
        <v>8424000</v>
      </c>
      <c r="M16" s="105">
        <f t="shared" si="20"/>
        <v>8424000</v>
      </c>
      <c r="N16" s="105">
        <f t="shared" si="20"/>
        <v>8424000</v>
      </c>
      <c r="O16" s="105">
        <f t="shared" si="20"/>
        <v>8424000</v>
      </c>
      <c r="P16" s="104">
        <f t="shared" si="8"/>
        <v>172692000</v>
      </c>
      <c r="Q16" s="105">
        <f t="shared" ref="Q16:AB16" si="21">(Q14+Q15)*8%</f>
        <v>12636000</v>
      </c>
      <c r="R16" s="105">
        <f t="shared" si="21"/>
        <v>12636000</v>
      </c>
      <c r="S16" s="105">
        <f t="shared" si="21"/>
        <v>12636000</v>
      </c>
      <c r="T16" s="105">
        <f t="shared" si="21"/>
        <v>12636000</v>
      </c>
      <c r="U16" s="105">
        <f t="shared" si="21"/>
        <v>12636000</v>
      </c>
      <c r="V16" s="105">
        <f t="shared" si="21"/>
        <v>8424000</v>
      </c>
      <c r="W16" s="105">
        <f t="shared" si="21"/>
        <v>12636000</v>
      </c>
      <c r="X16" s="105">
        <f t="shared" si="21"/>
        <v>12636000</v>
      </c>
      <c r="Y16" s="105">
        <f t="shared" si="21"/>
        <v>16848000</v>
      </c>
      <c r="Z16" s="105">
        <f t="shared" si="21"/>
        <v>16848000</v>
      </c>
      <c r="AA16" s="105">
        <f t="shared" si="21"/>
        <v>21060000</v>
      </c>
      <c r="AB16" s="105">
        <f t="shared" si="21"/>
        <v>21060000</v>
      </c>
      <c r="AC16" s="104">
        <f t="shared" si="5"/>
        <v>606528000</v>
      </c>
      <c r="AD16" s="105">
        <f t="shared" ref="AD16:AO16" si="22">(AD14+AD15)*8%</f>
        <v>21060000</v>
      </c>
      <c r="AE16" s="105">
        <f t="shared" si="22"/>
        <v>25272000</v>
      </c>
      <c r="AF16" s="105">
        <f t="shared" si="22"/>
        <v>29484000</v>
      </c>
      <c r="AG16" s="105">
        <f t="shared" si="22"/>
        <v>29484000</v>
      </c>
      <c r="AH16" s="105">
        <f t="shared" si="22"/>
        <v>37908000</v>
      </c>
      <c r="AI16" s="105">
        <f t="shared" si="22"/>
        <v>42120000</v>
      </c>
      <c r="AJ16" s="105">
        <f t="shared" si="22"/>
        <v>50544000</v>
      </c>
      <c r="AK16" s="105">
        <f t="shared" si="22"/>
        <v>54756000</v>
      </c>
      <c r="AL16" s="105">
        <f t="shared" si="22"/>
        <v>63180000</v>
      </c>
      <c r="AM16" s="105">
        <f t="shared" si="22"/>
        <v>71604000</v>
      </c>
      <c r="AN16" s="105">
        <f t="shared" si="22"/>
        <v>84240000</v>
      </c>
      <c r="AO16" s="105">
        <f t="shared" si="22"/>
        <v>96876000</v>
      </c>
    </row>
    <row r="17" spans="1:41" ht="17.25" outlineLevel="1" collapsed="1" x14ac:dyDescent="0.3">
      <c r="A17" s="98" t="s">
        <v>107</v>
      </c>
      <c r="B17" s="99"/>
      <c r="C17" s="100">
        <f t="shared" si="3"/>
        <v>267004500</v>
      </c>
      <c r="D17" s="101">
        <f t="shared" ref="D17:O17" si="23">D18+D22</f>
        <v>0</v>
      </c>
      <c r="E17" s="101">
        <f t="shared" si="23"/>
        <v>0</v>
      </c>
      <c r="F17" s="101">
        <f t="shared" si="23"/>
        <v>0</v>
      </c>
      <c r="G17" s="101">
        <f t="shared" si="23"/>
        <v>0</v>
      </c>
      <c r="H17" s="101">
        <f t="shared" si="23"/>
        <v>9051000</v>
      </c>
      <c r="I17" s="101">
        <f t="shared" si="23"/>
        <v>22627500</v>
      </c>
      <c r="J17" s="101">
        <f t="shared" si="23"/>
        <v>31678499.999999993</v>
      </c>
      <c r="K17" s="101">
        <f t="shared" si="23"/>
        <v>36204000</v>
      </c>
      <c r="L17" s="101">
        <f t="shared" si="23"/>
        <v>31678499.999999993</v>
      </c>
      <c r="M17" s="101">
        <f t="shared" si="23"/>
        <v>45255000</v>
      </c>
      <c r="N17" s="101">
        <f t="shared" si="23"/>
        <v>45255000</v>
      </c>
      <c r="O17" s="101">
        <f t="shared" si="23"/>
        <v>45255000</v>
      </c>
      <c r="P17" s="100">
        <f t="shared" si="8"/>
        <v>890460000</v>
      </c>
      <c r="Q17" s="101">
        <f t="shared" ref="Q17:AB17" si="24">Q18+Q22</f>
        <v>50850000</v>
      </c>
      <c r="R17" s="101">
        <f t="shared" si="24"/>
        <v>59670000</v>
      </c>
      <c r="S17" s="101">
        <f t="shared" si="24"/>
        <v>72900000</v>
      </c>
      <c r="T17" s="101">
        <f t="shared" si="24"/>
        <v>72900000</v>
      </c>
      <c r="U17" s="101">
        <f t="shared" si="24"/>
        <v>72900000</v>
      </c>
      <c r="V17" s="101">
        <f t="shared" si="24"/>
        <v>70650000</v>
      </c>
      <c r="W17" s="101">
        <f t="shared" si="24"/>
        <v>64080000</v>
      </c>
      <c r="X17" s="101">
        <f t="shared" si="24"/>
        <v>59670000</v>
      </c>
      <c r="Y17" s="101">
        <f t="shared" si="24"/>
        <v>75150000</v>
      </c>
      <c r="Z17" s="101">
        <f t="shared" si="24"/>
        <v>83970000</v>
      </c>
      <c r="AA17" s="101">
        <f t="shared" si="24"/>
        <v>99450000</v>
      </c>
      <c r="AB17" s="101">
        <f t="shared" si="24"/>
        <v>108270000</v>
      </c>
      <c r="AC17" s="100">
        <f t="shared" si="5"/>
        <v>2903850000</v>
      </c>
      <c r="AD17" s="101">
        <f t="shared" ref="AD17:AO17" si="25">AD18+AD22</f>
        <v>121499999.99999997</v>
      </c>
      <c r="AE17" s="101">
        <f t="shared" si="25"/>
        <v>123749999.99999997</v>
      </c>
      <c r="AF17" s="101">
        <f t="shared" si="25"/>
        <v>134820000</v>
      </c>
      <c r="AG17" s="101">
        <f t="shared" si="25"/>
        <v>156870000</v>
      </c>
      <c r="AH17" s="101">
        <f t="shared" si="25"/>
        <v>174600000</v>
      </c>
      <c r="AI17" s="101">
        <f t="shared" si="25"/>
        <v>194490000</v>
      </c>
      <c r="AJ17" s="101">
        <f t="shared" si="25"/>
        <v>234269999.99999994</v>
      </c>
      <c r="AK17" s="101">
        <f t="shared" si="25"/>
        <v>267390000</v>
      </c>
      <c r="AL17" s="101">
        <f t="shared" si="25"/>
        <v>307169999.99999994</v>
      </c>
      <c r="AM17" s="101">
        <f t="shared" si="25"/>
        <v>342540000</v>
      </c>
      <c r="AN17" s="101">
        <f t="shared" si="25"/>
        <v>393390000</v>
      </c>
      <c r="AO17" s="101">
        <f t="shared" si="25"/>
        <v>453059999.99999988</v>
      </c>
    </row>
    <row r="18" spans="1:41" ht="17.25" hidden="1" outlineLevel="2" x14ac:dyDescent="0.3">
      <c r="A18" s="103" t="s">
        <v>108</v>
      </c>
      <c r="B18" s="99"/>
      <c r="C18" s="104">
        <f t="shared" si="3"/>
        <v>162928500</v>
      </c>
      <c r="D18" s="105">
        <v>0</v>
      </c>
      <c r="E18" s="105">
        <f t="shared" ref="E18:O18" si="26">E19+E20+E21</f>
        <v>0</v>
      </c>
      <c r="F18" s="105">
        <f t="shared" si="26"/>
        <v>0</v>
      </c>
      <c r="G18" s="105">
        <f t="shared" si="26"/>
        <v>0</v>
      </c>
      <c r="H18" s="105">
        <f t="shared" si="26"/>
        <v>5523000</v>
      </c>
      <c r="I18" s="105">
        <f t="shared" si="26"/>
        <v>13807500</v>
      </c>
      <c r="J18" s="105">
        <f t="shared" si="26"/>
        <v>19330499.999999996</v>
      </c>
      <c r="K18" s="105">
        <f t="shared" si="26"/>
        <v>22092000</v>
      </c>
      <c r="L18" s="105">
        <f t="shared" si="26"/>
        <v>19330499.999999996</v>
      </c>
      <c r="M18" s="105">
        <f t="shared" si="26"/>
        <v>27615000</v>
      </c>
      <c r="N18" s="105">
        <f t="shared" si="26"/>
        <v>27615000</v>
      </c>
      <c r="O18" s="105">
        <f t="shared" si="26"/>
        <v>27615000</v>
      </c>
      <c r="P18" s="104">
        <f t="shared" si="8"/>
        <v>571176000</v>
      </c>
      <c r="Q18" s="105">
        <f t="shared" ref="Q18:AB18" si="27">Q19+Q20+Q21</f>
        <v>33210000</v>
      </c>
      <c r="R18" s="105">
        <f t="shared" si="27"/>
        <v>38502000</v>
      </c>
      <c r="S18" s="105">
        <f t="shared" si="27"/>
        <v>46440000</v>
      </c>
      <c r="T18" s="105">
        <f t="shared" si="27"/>
        <v>46440000</v>
      </c>
      <c r="U18" s="105">
        <f t="shared" si="27"/>
        <v>46440000</v>
      </c>
      <c r="V18" s="105">
        <f t="shared" si="27"/>
        <v>44190000</v>
      </c>
      <c r="W18" s="105">
        <f t="shared" si="27"/>
        <v>41148000</v>
      </c>
      <c r="X18" s="105">
        <f t="shared" si="27"/>
        <v>38502000</v>
      </c>
      <c r="Y18" s="105">
        <f t="shared" si="27"/>
        <v>48690000</v>
      </c>
      <c r="Z18" s="105">
        <f t="shared" si="27"/>
        <v>53982000</v>
      </c>
      <c r="AA18" s="105">
        <f t="shared" si="27"/>
        <v>64170000</v>
      </c>
      <c r="AB18" s="105">
        <f t="shared" si="27"/>
        <v>69462000</v>
      </c>
      <c r="AC18" s="104">
        <f t="shared" si="5"/>
        <v>1871910000</v>
      </c>
      <c r="AD18" s="105">
        <f t="shared" ref="AD18:AO18" si="28">AD19+AD20+AD21</f>
        <v>77399999.999999985</v>
      </c>
      <c r="AE18" s="105">
        <f t="shared" si="28"/>
        <v>79649999.999999985</v>
      </c>
      <c r="AF18" s="105">
        <f t="shared" si="28"/>
        <v>87192000</v>
      </c>
      <c r="AG18" s="105">
        <f t="shared" si="28"/>
        <v>100422000</v>
      </c>
      <c r="AH18" s="105">
        <f t="shared" si="28"/>
        <v>112860000</v>
      </c>
      <c r="AI18" s="105">
        <f t="shared" si="28"/>
        <v>125694000</v>
      </c>
      <c r="AJ18" s="105">
        <f t="shared" si="28"/>
        <v>151361999.99999997</v>
      </c>
      <c r="AK18" s="105">
        <f t="shared" si="28"/>
        <v>172134000</v>
      </c>
      <c r="AL18" s="105">
        <f t="shared" si="28"/>
        <v>197801999.99999997</v>
      </c>
      <c r="AM18" s="105">
        <f t="shared" si="28"/>
        <v>220824000</v>
      </c>
      <c r="AN18" s="105">
        <f t="shared" si="28"/>
        <v>254034000</v>
      </c>
      <c r="AO18" s="105">
        <f t="shared" si="28"/>
        <v>292535999.99999994</v>
      </c>
    </row>
    <row r="19" spans="1:41" ht="17.25" hidden="1" outlineLevel="3" x14ac:dyDescent="0.3">
      <c r="A19" s="106" t="s">
        <v>109</v>
      </c>
      <c r="B19" s="99"/>
      <c r="C19" s="107">
        <f t="shared" si="3"/>
        <v>6814500</v>
      </c>
      <c r="D19" s="108">
        <f t="shared" ref="D19:F19" si="29">D14*5%</f>
        <v>0</v>
      </c>
      <c r="E19" s="108">
        <f t="shared" si="29"/>
        <v>0</v>
      </c>
      <c r="F19" s="108">
        <f t="shared" si="29"/>
        <v>0</v>
      </c>
      <c r="G19" s="108">
        <v>0</v>
      </c>
      <c r="H19" s="108">
        <f>'КАЛЬКУЛЯЦИЯ ПАРТИИ ТОВАРОВ'!$E$20*ЗАКУП!H39</f>
        <v>231000</v>
      </c>
      <c r="I19" s="108">
        <f>'КАЛЬКУЛЯЦИЯ ПАРТИИ ТОВАРОВ'!$E$20*ЗАКУП!I39</f>
        <v>577500</v>
      </c>
      <c r="J19" s="108">
        <f>'КАЛЬКУЛЯЦИЯ ПАРТИИ ТОВАРОВ'!$E$20*ЗАКУП!J39</f>
        <v>808500</v>
      </c>
      <c r="K19" s="108">
        <f>'КАЛЬКУЛЯЦИЯ ПАРТИИ ТОВАРОВ'!$E$20*ЗАКУП!K39</f>
        <v>924000</v>
      </c>
      <c r="L19" s="108">
        <f>'КАЛЬКУЛЯЦИЯ ПАРТИИ ТОВАРОВ'!$E$20*ЗАКУП!L39</f>
        <v>808500</v>
      </c>
      <c r="M19" s="108">
        <f>'КАЛЬКУЛЯЦИЯ ПАРТИИ ТОВАРОВ'!$E$20*ЗАКУП!M39</f>
        <v>1155000</v>
      </c>
      <c r="N19" s="108">
        <f>'КАЛЬКУЛЯЦИЯ ПАРТИИ ТОВАРОВ'!$E$20*ЗАКУП!N39</f>
        <v>1155000</v>
      </c>
      <c r="O19" s="108">
        <f>'КАЛЬКУЛЯЦИЯ ПАРТИИ ТОВАРОВ'!$E$20*ЗАКУП!O39</f>
        <v>1155000</v>
      </c>
      <c r="P19" s="107">
        <f t="shared" si="8"/>
        <v>92250000</v>
      </c>
      <c r="Q19" s="108">
        <f t="shared" ref="Q19:AB19" si="30">Q14*5%</f>
        <v>6750000</v>
      </c>
      <c r="R19" s="108">
        <f t="shared" si="30"/>
        <v>6750000</v>
      </c>
      <c r="S19" s="108">
        <f t="shared" si="30"/>
        <v>6750000</v>
      </c>
      <c r="T19" s="108">
        <f t="shared" si="30"/>
        <v>6750000</v>
      </c>
      <c r="U19" s="108">
        <f t="shared" si="30"/>
        <v>6750000</v>
      </c>
      <c r="V19" s="108">
        <f t="shared" si="30"/>
        <v>4500000</v>
      </c>
      <c r="W19" s="108">
        <f t="shared" si="30"/>
        <v>6750000</v>
      </c>
      <c r="X19" s="108">
        <f t="shared" si="30"/>
        <v>6750000</v>
      </c>
      <c r="Y19" s="108">
        <f t="shared" si="30"/>
        <v>9000000</v>
      </c>
      <c r="Z19" s="108">
        <f t="shared" si="30"/>
        <v>9000000</v>
      </c>
      <c r="AA19" s="108">
        <f t="shared" si="30"/>
        <v>11250000</v>
      </c>
      <c r="AB19" s="108">
        <f t="shared" si="30"/>
        <v>11250000</v>
      </c>
      <c r="AC19" s="107">
        <f t="shared" si="5"/>
        <v>324000000</v>
      </c>
      <c r="AD19" s="108">
        <f t="shared" ref="AD19:AO19" si="31">AD14*5%</f>
        <v>11250000</v>
      </c>
      <c r="AE19" s="108">
        <f t="shared" si="31"/>
        <v>13500000</v>
      </c>
      <c r="AF19" s="108">
        <f t="shared" si="31"/>
        <v>15750000</v>
      </c>
      <c r="AG19" s="108">
        <f t="shared" si="31"/>
        <v>15750000</v>
      </c>
      <c r="AH19" s="108">
        <f t="shared" si="31"/>
        <v>20250000</v>
      </c>
      <c r="AI19" s="108">
        <f t="shared" si="31"/>
        <v>22500000</v>
      </c>
      <c r="AJ19" s="108">
        <f t="shared" si="31"/>
        <v>27000000</v>
      </c>
      <c r="AK19" s="108">
        <f t="shared" si="31"/>
        <v>29250000</v>
      </c>
      <c r="AL19" s="108">
        <f t="shared" si="31"/>
        <v>33750000</v>
      </c>
      <c r="AM19" s="108">
        <f t="shared" si="31"/>
        <v>38250000</v>
      </c>
      <c r="AN19" s="108">
        <f t="shared" si="31"/>
        <v>45000000</v>
      </c>
      <c r="AO19" s="108">
        <f t="shared" si="31"/>
        <v>51750000</v>
      </c>
    </row>
    <row r="20" spans="1:41" ht="17.25" hidden="1" outlineLevel="3" x14ac:dyDescent="0.3">
      <c r="A20" s="106" t="s">
        <v>110</v>
      </c>
      <c r="B20" s="99"/>
      <c r="C20" s="107">
        <f t="shared" si="3"/>
        <v>126378000</v>
      </c>
      <c r="D20" s="108">
        <f t="shared" ref="D20:O20" si="32">D10*17%</f>
        <v>0</v>
      </c>
      <c r="E20" s="108">
        <f t="shared" si="32"/>
        <v>0</v>
      </c>
      <c r="F20" s="108">
        <f t="shared" si="32"/>
        <v>0</v>
      </c>
      <c r="G20" s="108">
        <f t="shared" si="32"/>
        <v>0</v>
      </c>
      <c r="H20" s="108">
        <f t="shared" si="32"/>
        <v>4284000</v>
      </c>
      <c r="I20" s="108">
        <f t="shared" si="32"/>
        <v>10710000</v>
      </c>
      <c r="J20" s="108">
        <f t="shared" si="32"/>
        <v>14993999.999999998</v>
      </c>
      <c r="K20" s="108">
        <f t="shared" si="32"/>
        <v>17136000</v>
      </c>
      <c r="L20" s="108">
        <f t="shared" si="32"/>
        <v>14993999.999999998</v>
      </c>
      <c r="M20" s="108">
        <f t="shared" si="32"/>
        <v>21420000</v>
      </c>
      <c r="N20" s="108">
        <f t="shared" si="32"/>
        <v>21420000</v>
      </c>
      <c r="O20" s="108">
        <f t="shared" si="32"/>
        <v>21420000</v>
      </c>
      <c r="P20" s="107">
        <f t="shared" si="8"/>
        <v>387702000</v>
      </c>
      <c r="Q20" s="108">
        <f t="shared" ref="Q20:AB20" si="33">Q10*17%</f>
        <v>21420000</v>
      </c>
      <c r="R20" s="108">
        <f t="shared" si="33"/>
        <v>25704000</v>
      </c>
      <c r="S20" s="108">
        <f t="shared" si="33"/>
        <v>32129999.999999996</v>
      </c>
      <c r="T20" s="108">
        <f t="shared" si="33"/>
        <v>32129999.999999996</v>
      </c>
      <c r="U20" s="108">
        <f t="shared" si="33"/>
        <v>32129999.999999996</v>
      </c>
      <c r="V20" s="108">
        <f t="shared" si="33"/>
        <v>32129999.999999996</v>
      </c>
      <c r="W20" s="108">
        <f t="shared" si="33"/>
        <v>27845999.999999996</v>
      </c>
      <c r="X20" s="108">
        <f t="shared" si="33"/>
        <v>25704000</v>
      </c>
      <c r="Y20" s="108">
        <f t="shared" si="33"/>
        <v>32129999.999999996</v>
      </c>
      <c r="Z20" s="108">
        <f t="shared" si="33"/>
        <v>36414000</v>
      </c>
      <c r="AA20" s="108">
        <f t="shared" si="33"/>
        <v>42840000</v>
      </c>
      <c r="AB20" s="108">
        <f t="shared" si="33"/>
        <v>47124000</v>
      </c>
      <c r="AC20" s="107">
        <f t="shared" si="5"/>
        <v>1253070000</v>
      </c>
      <c r="AD20" s="108">
        <f t="shared" ref="AD20:AO20" si="34">AD10*17%</f>
        <v>53549999.999999993</v>
      </c>
      <c r="AE20" s="108">
        <f t="shared" si="34"/>
        <v>53549999.999999993</v>
      </c>
      <c r="AF20" s="108">
        <f t="shared" si="34"/>
        <v>57834000.000000007</v>
      </c>
      <c r="AG20" s="108">
        <f t="shared" si="34"/>
        <v>68544000</v>
      </c>
      <c r="AH20" s="108">
        <f t="shared" si="34"/>
        <v>74970000</v>
      </c>
      <c r="AI20" s="108">
        <f t="shared" si="34"/>
        <v>83538000</v>
      </c>
      <c r="AJ20" s="108">
        <f t="shared" si="34"/>
        <v>100673999.99999999</v>
      </c>
      <c r="AK20" s="108">
        <f t="shared" si="34"/>
        <v>115668000.00000001</v>
      </c>
      <c r="AL20" s="108">
        <f t="shared" si="34"/>
        <v>132803999.99999997</v>
      </c>
      <c r="AM20" s="108">
        <f t="shared" si="34"/>
        <v>147798000</v>
      </c>
      <c r="AN20" s="108">
        <f t="shared" si="34"/>
        <v>169218000</v>
      </c>
      <c r="AO20" s="108">
        <f t="shared" si="34"/>
        <v>194921999.99999997</v>
      </c>
    </row>
    <row r="21" spans="1:41" ht="17.25" hidden="1" outlineLevel="3" x14ac:dyDescent="0.3">
      <c r="A21" s="106" t="s">
        <v>111</v>
      </c>
      <c r="B21" s="99"/>
      <c r="C21" s="107">
        <f t="shared" si="3"/>
        <v>29736000</v>
      </c>
      <c r="D21" s="108">
        <f t="shared" ref="D21:O21" si="35">D10*4%</f>
        <v>0</v>
      </c>
      <c r="E21" s="108">
        <f t="shared" si="35"/>
        <v>0</v>
      </c>
      <c r="F21" s="108">
        <f t="shared" si="35"/>
        <v>0</v>
      </c>
      <c r="G21" s="108">
        <f t="shared" si="35"/>
        <v>0</v>
      </c>
      <c r="H21" s="108">
        <f t="shared" si="35"/>
        <v>1008000</v>
      </c>
      <c r="I21" s="108">
        <f t="shared" si="35"/>
        <v>2519999.9999999995</v>
      </c>
      <c r="J21" s="108">
        <f t="shared" si="35"/>
        <v>3527999.9999999995</v>
      </c>
      <c r="K21" s="108">
        <f t="shared" si="35"/>
        <v>4032000</v>
      </c>
      <c r="L21" s="108">
        <f t="shared" si="35"/>
        <v>3527999.9999999995</v>
      </c>
      <c r="M21" s="108">
        <f t="shared" si="35"/>
        <v>5039999.9999999991</v>
      </c>
      <c r="N21" s="108">
        <f t="shared" si="35"/>
        <v>5039999.9999999991</v>
      </c>
      <c r="O21" s="108">
        <f t="shared" si="35"/>
        <v>5039999.9999999991</v>
      </c>
      <c r="P21" s="107">
        <f t="shared" si="8"/>
        <v>91224000</v>
      </c>
      <c r="Q21" s="108">
        <f t="shared" ref="Q21:AB21" si="36">Q10*4%</f>
        <v>5039999.9999999991</v>
      </c>
      <c r="R21" s="108">
        <f t="shared" si="36"/>
        <v>6048000</v>
      </c>
      <c r="S21" s="108">
        <f t="shared" si="36"/>
        <v>7559999.9999999991</v>
      </c>
      <c r="T21" s="108">
        <f t="shared" si="36"/>
        <v>7559999.9999999991</v>
      </c>
      <c r="U21" s="108">
        <f t="shared" si="36"/>
        <v>7559999.9999999991</v>
      </c>
      <c r="V21" s="108">
        <f t="shared" si="36"/>
        <v>7559999.9999999991</v>
      </c>
      <c r="W21" s="108">
        <f t="shared" si="36"/>
        <v>6551999.9999999991</v>
      </c>
      <c r="X21" s="108">
        <f t="shared" si="36"/>
        <v>6048000</v>
      </c>
      <c r="Y21" s="108">
        <f t="shared" si="36"/>
        <v>7559999.9999999991</v>
      </c>
      <c r="Z21" s="108">
        <f t="shared" si="36"/>
        <v>8567999.9999999981</v>
      </c>
      <c r="AA21" s="108">
        <f t="shared" si="36"/>
        <v>10079999.999999998</v>
      </c>
      <c r="AB21" s="108">
        <f t="shared" si="36"/>
        <v>11088000</v>
      </c>
      <c r="AC21" s="107">
        <f t="shared" si="5"/>
        <v>294840000</v>
      </c>
      <c r="AD21" s="108">
        <f t="shared" ref="AD21:AO21" si="37">AD10*4%</f>
        <v>12599999.999999998</v>
      </c>
      <c r="AE21" s="108">
        <f t="shared" si="37"/>
        <v>12599999.999999998</v>
      </c>
      <c r="AF21" s="108">
        <f t="shared" si="37"/>
        <v>13608000</v>
      </c>
      <c r="AG21" s="108">
        <f t="shared" si="37"/>
        <v>16128000</v>
      </c>
      <c r="AH21" s="108">
        <f t="shared" si="37"/>
        <v>17639999.999999996</v>
      </c>
      <c r="AI21" s="108">
        <f t="shared" si="37"/>
        <v>19656000</v>
      </c>
      <c r="AJ21" s="108">
        <f t="shared" si="37"/>
        <v>23687999.999999996</v>
      </c>
      <c r="AK21" s="108">
        <f t="shared" si="37"/>
        <v>27216000</v>
      </c>
      <c r="AL21" s="108">
        <f t="shared" si="37"/>
        <v>31247999.999999993</v>
      </c>
      <c r="AM21" s="108">
        <f t="shared" si="37"/>
        <v>34776000</v>
      </c>
      <c r="AN21" s="108">
        <f t="shared" si="37"/>
        <v>39815999.999999993</v>
      </c>
      <c r="AO21" s="108">
        <f t="shared" si="37"/>
        <v>45863999.999999993</v>
      </c>
    </row>
    <row r="22" spans="1:41" ht="17.25" hidden="1" outlineLevel="2" x14ac:dyDescent="0.3">
      <c r="A22" s="103" t="s">
        <v>112</v>
      </c>
      <c r="B22" s="99"/>
      <c r="C22" s="104">
        <f t="shared" si="3"/>
        <v>104076000</v>
      </c>
      <c r="D22" s="105">
        <f t="shared" ref="D22:O22" si="38">D23+D24</f>
        <v>0</v>
      </c>
      <c r="E22" s="105">
        <f t="shared" si="38"/>
        <v>0</v>
      </c>
      <c r="F22" s="105">
        <f t="shared" si="38"/>
        <v>0</v>
      </c>
      <c r="G22" s="105">
        <f t="shared" si="38"/>
        <v>0</v>
      </c>
      <c r="H22" s="105">
        <f t="shared" si="38"/>
        <v>3528000</v>
      </c>
      <c r="I22" s="105">
        <f t="shared" si="38"/>
        <v>8819999.9999999981</v>
      </c>
      <c r="J22" s="105">
        <f t="shared" si="38"/>
        <v>12347999.999999998</v>
      </c>
      <c r="K22" s="105">
        <f t="shared" si="38"/>
        <v>14112000</v>
      </c>
      <c r="L22" s="105">
        <f t="shared" si="38"/>
        <v>12347999.999999998</v>
      </c>
      <c r="M22" s="105">
        <f t="shared" si="38"/>
        <v>17639999.999999996</v>
      </c>
      <c r="N22" s="105">
        <f t="shared" si="38"/>
        <v>17639999.999999996</v>
      </c>
      <c r="O22" s="105">
        <f t="shared" si="38"/>
        <v>17639999.999999996</v>
      </c>
      <c r="P22" s="104">
        <f t="shared" si="8"/>
        <v>319284000</v>
      </c>
      <c r="Q22" s="105">
        <f t="shared" ref="Q22:AB22" si="39">Q23+Q24</f>
        <v>17639999.999999996</v>
      </c>
      <c r="R22" s="105">
        <f t="shared" si="39"/>
        <v>21168000</v>
      </c>
      <c r="S22" s="105">
        <f t="shared" si="39"/>
        <v>26459999.999999996</v>
      </c>
      <c r="T22" s="105">
        <f t="shared" si="39"/>
        <v>26459999.999999996</v>
      </c>
      <c r="U22" s="105">
        <f t="shared" si="39"/>
        <v>26459999.999999996</v>
      </c>
      <c r="V22" s="105">
        <f t="shared" si="39"/>
        <v>26459999.999999996</v>
      </c>
      <c r="W22" s="105">
        <f t="shared" si="39"/>
        <v>22931999.999999996</v>
      </c>
      <c r="X22" s="105">
        <f t="shared" si="39"/>
        <v>21168000</v>
      </c>
      <c r="Y22" s="105">
        <f t="shared" si="39"/>
        <v>26459999.999999996</v>
      </c>
      <c r="Z22" s="105">
        <f t="shared" si="39"/>
        <v>29987999.999999996</v>
      </c>
      <c r="AA22" s="105">
        <f t="shared" si="39"/>
        <v>35279999.999999993</v>
      </c>
      <c r="AB22" s="105">
        <f t="shared" si="39"/>
        <v>38808000</v>
      </c>
      <c r="AC22" s="104">
        <f t="shared" si="5"/>
        <v>1031940000</v>
      </c>
      <c r="AD22" s="105">
        <f t="shared" ref="AD22:AO22" si="40">AD23+AD24</f>
        <v>44099999.999999993</v>
      </c>
      <c r="AE22" s="105">
        <f t="shared" si="40"/>
        <v>44099999.999999993</v>
      </c>
      <c r="AF22" s="105">
        <f t="shared" si="40"/>
        <v>47628000</v>
      </c>
      <c r="AG22" s="105">
        <f t="shared" si="40"/>
        <v>56448000</v>
      </c>
      <c r="AH22" s="105">
        <f t="shared" si="40"/>
        <v>61739999.999999993</v>
      </c>
      <c r="AI22" s="105">
        <f t="shared" si="40"/>
        <v>68796000</v>
      </c>
      <c r="AJ22" s="105">
        <f t="shared" si="40"/>
        <v>82907999.999999985</v>
      </c>
      <c r="AK22" s="105">
        <f t="shared" si="40"/>
        <v>95256000</v>
      </c>
      <c r="AL22" s="105">
        <f t="shared" si="40"/>
        <v>109367999.99999997</v>
      </c>
      <c r="AM22" s="105">
        <f t="shared" si="40"/>
        <v>121716000</v>
      </c>
      <c r="AN22" s="105">
        <f t="shared" si="40"/>
        <v>139355999.99999997</v>
      </c>
      <c r="AO22" s="105">
        <f t="shared" si="40"/>
        <v>160523999.99999997</v>
      </c>
    </row>
    <row r="23" spans="1:41" ht="17.25" hidden="1" outlineLevel="3" x14ac:dyDescent="0.3">
      <c r="A23" s="106" t="s">
        <v>113</v>
      </c>
      <c r="B23" s="99"/>
      <c r="C23" s="107">
        <f t="shared" si="3"/>
        <v>89208000</v>
      </c>
      <c r="D23" s="108">
        <f t="shared" ref="D23:O23" si="41">D11*12%</f>
        <v>0</v>
      </c>
      <c r="E23" s="108">
        <f t="shared" si="41"/>
        <v>0</v>
      </c>
      <c r="F23" s="108">
        <f t="shared" si="41"/>
        <v>0</v>
      </c>
      <c r="G23" s="108">
        <f t="shared" si="41"/>
        <v>0</v>
      </c>
      <c r="H23" s="108">
        <f t="shared" si="41"/>
        <v>3024000</v>
      </c>
      <c r="I23" s="108">
        <f t="shared" si="41"/>
        <v>7559999.9999999991</v>
      </c>
      <c r="J23" s="108">
        <f t="shared" si="41"/>
        <v>10583999.999999998</v>
      </c>
      <c r="K23" s="108">
        <f t="shared" si="41"/>
        <v>12096000</v>
      </c>
      <c r="L23" s="108">
        <f t="shared" si="41"/>
        <v>10583999.999999998</v>
      </c>
      <c r="M23" s="108">
        <f t="shared" si="41"/>
        <v>15119999.999999998</v>
      </c>
      <c r="N23" s="108">
        <f t="shared" si="41"/>
        <v>15119999.999999998</v>
      </c>
      <c r="O23" s="108">
        <f t="shared" si="41"/>
        <v>15119999.999999998</v>
      </c>
      <c r="P23" s="107">
        <f t="shared" si="8"/>
        <v>273672000</v>
      </c>
      <c r="Q23" s="108">
        <f t="shared" ref="Q23:AB23" si="42">Q11*12%</f>
        <v>15119999.999999998</v>
      </c>
      <c r="R23" s="108">
        <f t="shared" si="42"/>
        <v>18144000</v>
      </c>
      <c r="S23" s="108">
        <f t="shared" si="42"/>
        <v>22679999.999999996</v>
      </c>
      <c r="T23" s="108">
        <f t="shared" si="42"/>
        <v>22679999.999999996</v>
      </c>
      <c r="U23" s="108">
        <f t="shared" si="42"/>
        <v>22679999.999999996</v>
      </c>
      <c r="V23" s="108">
        <f t="shared" si="42"/>
        <v>22679999.999999996</v>
      </c>
      <c r="W23" s="108">
        <f t="shared" si="42"/>
        <v>19655999.999999996</v>
      </c>
      <c r="X23" s="108">
        <f t="shared" si="42"/>
        <v>18144000</v>
      </c>
      <c r="Y23" s="108">
        <f t="shared" si="42"/>
        <v>22679999.999999996</v>
      </c>
      <c r="Z23" s="108">
        <f t="shared" si="42"/>
        <v>25703999.999999996</v>
      </c>
      <c r="AA23" s="108">
        <f t="shared" si="42"/>
        <v>30239999.999999996</v>
      </c>
      <c r="AB23" s="108">
        <f t="shared" si="42"/>
        <v>33264000</v>
      </c>
      <c r="AC23" s="107">
        <f t="shared" si="5"/>
        <v>884520000</v>
      </c>
      <c r="AD23" s="108">
        <f t="shared" ref="AD23:AO23" si="43">AD11*12%</f>
        <v>37799999.999999993</v>
      </c>
      <c r="AE23" s="108">
        <f t="shared" si="43"/>
        <v>37799999.999999993</v>
      </c>
      <c r="AF23" s="108">
        <f t="shared" si="43"/>
        <v>40824000</v>
      </c>
      <c r="AG23" s="108">
        <f t="shared" si="43"/>
        <v>48384000</v>
      </c>
      <c r="AH23" s="108">
        <f t="shared" si="43"/>
        <v>52919999.999999993</v>
      </c>
      <c r="AI23" s="108">
        <f t="shared" si="43"/>
        <v>58968000</v>
      </c>
      <c r="AJ23" s="108">
        <f t="shared" si="43"/>
        <v>71063999.999999985</v>
      </c>
      <c r="AK23" s="108">
        <f t="shared" si="43"/>
        <v>81648000</v>
      </c>
      <c r="AL23" s="108">
        <f t="shared" si="43"/>
        <v>93743999.99999997</v>
      </c>
      <c r="AM23" s="108">
        <f t="shared" si="43"/>
        <v>104328000</v>
      </c>
      <c r="AN23" s="108">
        <f t="shared" si="43"/>
        <v>119447999.99999999</v>
      </c>
      <c r="AO23" s="108">
        <f t="shared" si="43"/>
        <v>137591999.99999997</v>
      </c>
    </row>
    <row r="24" spans="1:41" ht="17.25" hidden="1" outlineLevel="3" x14ac:dyDescent="0.3">
      <c r="A24" s="106" t="s">
        <v>114</v>
      </c>
      <c r="B24" s="99"/>
      <c r="C24" s="107">
        <f t="shared" si="3"/>
        <v>14868000</v>
      </c>
      <c r="D24" s="108">
        <f t="shared" ref="D24:O24" si="44">D11*2%</f>
        <v>0</v>
      </c>
      <c r="E24" s="108">
        <f t="shared" si="44"/>
        <v>0</v>
      </c>
      <c r="F24" s="108">
        <f t="shared" si="44"/>
        <v>0</v>
      </c>
      <c r="G24" s="108">
        <f t="shared" si="44"/>
        <v>0</v>
      </c>
      <c r="H24" s="108">
        <f t="shared" si="44"/>
        <v>504000</v>
      </c>
      <c r="I24" s="108">
        <f t="shared" si="44"/>
        <v>1259999.9999999998</v>
      </c>
      <c r="J24" s="108">
        <f t="shared" si="44"/>
        <v>1763999.9999999998</v>
      </c>
      <c r="K24" s="108">
        <f t="shared" si="44"/>
        <v>2016000</v>
      </c>
      <c r="L24" s="108">
        <f t="shared" si="44"/>
        <v>1763999.9999999998</v>
      </c>
      <c r="M24" s="108">
        <f t="shared" si="44"/>
        <v>2519999.9999999995</v>
      </c>
      <c r="N24" s="108">
        <f t="shared" si="44"/>
        <v>2519999.9999999995</v>
      </c>
      <c r="O24" s="108">
        <f t="shared" si="44"/>
        <v>2519999.9999999995</v>
      </c>
      <c r="P24" s="107">
        <f t="shared" si="8"/>
        <v>45612000</v>
      </c>
      <c r="Q24" s="108">
        <f t="shared" ref="Q24:AB24" si="45">Q11*2%</f>
        <v>2519999.9999999995</v>
      </c>
      <c r="R24" s="108">
        <f t="shared" si="45"/>
        <v>3024000</v>
      </c>
      <c r="S24" s="108">
        <f t="shared" si="45"/>
        <v>3779999.9999999995</v>
      </c>
      <c r="T24" s="108">
        <f t="shared" si="45"/>
        <v>3779999.9999999995</v>
      </c>
      <c r="U24" s="108">
        <f t="shared" si="45"/>
        <v>3779999.9999999995</v>
      </c>
      <c r="V24" s="108">
        <f t="shared" si="45"/>
        <v>3779999.9999999995</v>
      </c>
      <c r="W24" s="108">
        <f t="shared" si="45"/>
        <v>3275999.9999999995</v>
      </c>
      <c r="X24" s="108">
        <f t="shared" si="45"/>
        <v>3024000</v>
      </c>
      <c r="Y24" s="108">
        <f t="shared" si="45"/>
        <v>3779999.9999999995</v>
      </c>
      <c r="Z24" s="108">
        <f t="shared" si="45"/>
        <v>4283999.9999999991</v>
      </c>
      <c r="AA24" s="108">
        <f t="shared" si="45"/>
        <v>5039999.9999999991</v>
      </c>
      <c r="AB24" s="108">
        <f t="shared" si="45"/>
        <v>5544000</v>
      </c>
      <c r="AC24" s="107">
        <f t="shared" si="5"/>
        <v>147420000</v>
      </c>
      <c r="AD24" s="108">
        <f t="shared" ref="AD24:AO24" si="46">AD11*2%</f>
        <v>6299999.9999999991</v>
      </c>
      <c r="AE24" s="108">
        <f t="shared" si="46"/>
        <v>6299999.9999999991</v>
      </c>
      <c r="AF24" s="108">
        <f t="shared" si="46"/>
        <v>6804000</v>
      </c>
      <c r="AG24" s="108">
        <f t="shared" si="46"/>
        <v>8064000</v>
      </c>
      <c r="AH24" s="108">
        <f t="shared" si="46"/>
        <v>8819999.9999999981</v>
      </c>
      <c r="AI24" s="108">
        <f t="shared" si="46"/>
        <v>9828000</v>
      </c>
      <c r="AJ24" s="108">
        <f t="shared" si="46"/>
        <v>11843999.999999998</v>
      </c>
      <c r="AK24" s="108">
        <f t="shared" si="46"/>
        <v>13608000</v>
      </c>
      <c r="AL24" s="108">
        <f t="shared" si="46"/>
        <v>15623999.999999996</v>
      </c>
      <c r="AM24" s="108">
        <f t="shared" si="46"/>
        <v>17388000</v>
      </c>
      <c r="AN24" s="108">
        <f t="shared" si="46"/>
        <v>19907999.999999996</v>
      </c>
      <c r="AO24" s="108">
        <f t="shared" si="46"/>
        <v>22931999.999999996</v>
      </c>
    </row>
    <row r="25" spans="1:41" ht="17.25" outlineLevel="1" collapsed="1" x14ac:dyDescent="0.3">
      <c r="A25" s="98" t="s">
        <v>115</v>
      </c>
      <c r="B25" s="99"/>
      <c r="C25" s="100">
        <f t="shared" si="3"/>
        <v>273782146.19904</v>
      </c>
      <c r="D25" s="101">
        <f t="shared" ref="D25:O25" si="47">SUM(D26:D36)</f>
        <v>0</v>
      </c>
      <c r="E25" s="101">
        <f t="shared" si="47"/>
        <v>0</v>
      </c>
      <c r="F25" s="101">
        <f t="shared" si="47"/>
        <v>0</v>
      </c>
      <c r="G25" s="101">
        <f t="shared" si="47"/>
        <v>6610000</v>
      </c>
      <c r="H25" s="101">
        <f t="shared" si="47"/>
        <v>13874140.549120001</v>
      </c>
      <c r="I25" s="101">
        <f t="shared" si="47"/>
        <v>24770351.3728</v>
      </c>
      <c r="J25" s="101">
        <f t="shared" si="47"/>
        <v>32034491.921919998</v>
      </c>
      <c r="K25" s="101">
        <f t="shared" si="47"/>
        <v>35666562.196480006</v>
      </c>
      <c r="L25" s="101">
        <f t="shared" si="47"/>
        <v>32034491.921919998</v>
      </c>
      <c r="M25" s="101">
        <f t="shared" si="47"/>
        <v>42930702.7456</v>
      </c>
      <c r="N25" s="101">
        <f t="shared" si="47"/>
        <v>42930702.7456</v>
      </c>
      <c r="O25" s="101">
        <f t="shared" si="47"/>
        <v>42930702.7456</v>
      </c>
      <c r="P25" s="100">
        <f t="shared" si="8"/>
        <v>734808319.69535995</v>
      </c>
      <c r="Q25" s="101">
        <f t="shared" ref="Q25:AB25" si="48">SUM(Q26:Q36)</f>
        <v>44948702.7456</v>
      </c>
      <c r="R25" s="101">
        <f t="shared" si="48"/>
        <v>51356043.294720002</v>
      </c>
      <c r="S25" s="101">
        <f t="shared" si="48"/>
        <v>60967054.118399993</v>
      </c>
      <c r="T25" s="101">
        <f t="shared" si="48"/>
        <v>60967054.118399993</v>
      </c>
      <c r="U25" s="101">
        <f t="shared" si="48"/>
        <v>60967054.118399993</v>
      </c>
      <c r="V25" s="101">
        <f t="shared" si="48"/>
        <v>60967054.118399993</v>
      </c>
      <c r="W25" s="101">
        <f t="shared" si="48"/>
        <v>54559713.569279999</v>
      </c>
      <c r="X25" s="101">
        <f t="shared" si="48"/>
        <v>51356043.294720002</v>
      </c>
      <c r="Y25" s="101">
        <f t="shared" si="48"/>
        <v>60967054.118399993</v>
      </c>
      <c r="Z25" s="101">
        <f t="shared" si="48"/>
        <v>67374394.667520002</v>
      </c>
      <c r="AA25" s="101">
        <f t="shared" si="48"/>
        <v>76985405.4912</v>
      </c>
      <c r="AB25" s="101">
        <f t="shared" si="48"/>
        <v>83392746.040320009</v>
      </c>
      <c r="AC25" s="100">
        <f t="shared" si="5"/>
        <v>2117603110.6176</v>
      </c>
      <c r="AD25" s="101">
        <f t="shared" ref="AD25:AO25" si="49">SUM(AD26:AD36)</f>
        <v>100379756.86399999</v>
      </c>
      <c r="AE25" s="101">
        <f t="shared" si="49"/>
        <v>100379756.86399999</v>
      </c>
      <c r="AF25" s="101">
        <f t="shared" si="49"/>
        <v>106787097.41312</v>
      </c>
      <c r="AG25" s="101">
        <f t="shared" si="49"/>
        <v>122805448.78592001</v>
      </c>
      <c r="AH25" s="101">
        <f t="shared" si="49"/>
        <v>132416459.60959998</v>
      </c>
      <c r="AI25" s="101">
        <f t="shared" si="49"/>
        <v>145231140.70784003</v>
      </c>
      <c r="AJ25" s="101">
        <f t="shared" si="49"/>
        <v>170860502.90431997</v>
      </c>
      <c r="AK25" s="101">
        <f t="shared" si="49"/>
        <v>193286194.82624</v>
      </c>
      <c r="AL25" s="101">
        <f t="shared" si="49"/>
        <v>218915557.02271998</v>
      </c>
      <c r="AM25" s="101">
        <f t="shared" si="49"/>
        <v>241341248.94464001</v>
      </c>
      <c r="AN25" s="101">
        <f t="shared" si="49"/>
        <v>273377951.69024003</v>
      </c>
      <c r="AO25" s="101">
        <f t="shared" si="49"/>
        <v>311821994.98495996</v>
      </c>
    </row>
    <row r="26" spans="1:41" ht="17.25" hidden="1" outlineLevel="2" x14ac:dyDescent="0.3">
      <c r="A26" s="103" t="s">
        <v>116</v>
      </c>
      <c r="B26" s="99"/>
      <c r="C26" s="104">
        <f t="shared" si="3"/>
        <v>27450000</v>
      </c>
      <c r="D26" s="105">
        <v>0</v>
      </c>
      <c r="E26" s="105">
        <v>0</v>
      </c>
      <c r="F26" s="105">
        <v>0</v>
      </c>
      <c r="G26" s="105">
        <v>3050000</v>
      </c>
      <c r="H26" s="105">
        <f>'P&amp;L'!H35</f>
        <v>3050000</v>
      </c>
      <c r="I26" s="105">
        <f>'P&amp;L'!I35</f>
        <v>3050000</v>
      </c>
      <c r="J26" s="105">
        <f>'P&amp;L'!J35</f>
        <v>3050000</v>
      </c>
      <c r="K26" s="105">
        <f>'P&amp;L'!K35</f>
        <v>3050000</v>
      </c>
      <c r="L26" s="105">
        <f>'P&amp;L'!L35</f>
        <v>3050000</v>
      </c>
      <c r="M26" s="105">
        <f>'P&amp;L'!M35</f>
        <v>3050000</v>
      </c>
      <c r="N26" s="105">
        <f>'P&amp;L'!N35</f>
        <v>3050000</v>
      </c>
      <c r="O26" s="105">
        <f>'P&amp;L'!O35</f>
        <v>3050000</v>
      </c>
      <c r="P26" s="104">
        <f t="shared" si="8"/>
        <v>51600000</v>
      </c>
      <c r="Q26" s="105">
        <f>'P&amp;L'!Q35</f>
        <v>4300000</v>
      </c>
      <c r="R26" s="105">
        <f>'P&amp;L'!R35</f>
        <v>4300000</v>
      </c>
      <c r="S26" s="105">
        <f>'P&amp;L'!S35</f>
        <v>4300000</v>
      </c>
      <c r="T26" s="105">
        <f>'P&amp;L'!T35</f>
        <v>4300000</v>
      </c>
      <c r="U26" s="105">
        <f>'P&amp;L'!U35</f>
        <v>4300000</v>
      </c>
      <c r="V26" s="105">
        <f>'P&amp;L'!V35</f>
        <v>4300000</v>
      </c>
      <c r="W26" s="105">
        <f>'P&amp;L'!W35</f>
        <v>4300000</v>
      </c>
      <c r="X26" s="105">
        <f>'P&amp;L'!X35</f>
        <v>4300000</v>
      </c>
      <c r="Y26" s="105">
        <f>'P&amp;L'!Y35</f>
        <v>4300000</v>
      </c>
      <c r="Z26" s="105">
        <f>'P&amp;L'!Z35</f>
        <v>4300000</v>
      </c>
      <c r="AA26" s="105">
        <f>'P&amp;L'!AA35</f>
        <v>4300000</v>
      </c>
      <c r="AB26" s="105">
        <f>'P&amp;L'!AB35</f>
        <v>4300000</v>
      </c>
      <c r="AC26" s="104">
        <f t="shared" si="5"/>
        <v>60000000</v>
      </c>
      <c r="AD26" s="105">
        <f>'P&amp;L'!AD35</f>
        <v>5000000</v>
      </c>
      <c r="AE26" s="105">
        <f>'P&amp;L'!AE35</f>
        <v>5000000</v>
      </c>
      <c r="AF26" s="105">
        <f>'P&amp;L'!AF35</f>
        <v>5000000</v>
      </c>
      <c r="AG26" s="105">
        <f>'P&amp;L'!AG35</f>
        <v>5000000</v>
      </c>
      <c r="AH26" s="105">
        <f>'P&amp;L'!AH35</f>
        <v>5000000</v>
      </c>
      <c r="AI26" s="105">
        <f>'P&amp;L'!AI35</f>
        <v>5000000</v>
      </c>
      <c r="AJ26" s="105">
        <f>'P&amp;L'!AJ35</f>
        <v>5000000</v>
      </c>
      <c r="AK26" s="105">
        <f>'P&amp;L'!AK35</f>
        <v>5000000</v>
      </c>
      <c r="AL26" s="105">
        <f>'P&amp;L'!AL35</f>
        <v>5000000</v>
      </c>
      <c r="AM26" s="105">
        <f>'P&amp;L'!AM35</f>
        <v>5000000</v>
      </c>
      <c r="AN26" s="105">
        <f>'P&amp;L'!AN35</f>
        <v>5000000</v>
      </c>
      <c r="AO26" s="105">
        <f>'P&amp;L'!AO35</f>
        <v>5000000</v>
      </c>
    </row>
    <row r="27" spans="1:41" ht="17.25" hidden="1" outlineLevel="2" x14ac:dyDescent="0.3">
      <c r="A27" s="103" t="s">
        <v>117</v>
      </c>
      <c r="B27" s="99"/>
      <c r="C27" s="104">
        <f t="shared" si="3"/>
        <v>8784000</v>
      </c>
      <c r="D27" s="105">
        <v>0</v>
      </c>
      <c r="E27" s="105">
        <v>0</v>
      </c>
      <c r="F27" s="105">
        <v>0</v>
      </c>
      <c r="G27" s="105">
        <f>'P&amp;L'!G36</f>
        <v>976000</v>
      </c>
      <c r="H27" s="105">
        <f>'P&amp;L'!H36</f>
        <v>976000</v>
      </c>
      <c r="I27" s="105">
        <f>'P&amp;L'!I36</f>
        <v>976000</v>
      </c>
      <c r="J27" s="105">
        <f>'P&amp;L'!J36</f>
        <v>976000</v>
      </c>
      <c r="K27" s="105">
        <f>'P&amp;L'!K36</f>
        <v>976000</v>
      </c>
      <c r="L27" s="105">
        <f>'P&amp;L'!L36</f>
        <v>976000</v>
      </c>
      <c r="M27" s="105">
        <f>'P&amp;L'!M36</f>
        <v>976000</v>
      </c>
      <c r="N27" s="105">
        <f>'P&amp;L'!N36</f>
        <v>976000</v>
      </c>
      <c r="O27" s="105">
        <f>'P&amp;L'!O36</f>
        <v>976000</v>
      </c>
      <c r="P27" s="104">
        <f t="shared" si="8"/>
        <v>16512000</v>
      </c>
      <c r="Q27" s="105">
        <f>'P&amp;L'!Q36</f>
        <v>1376000</v>
      </c>
      <c r="R27" s="105">
        <f>'P&amp;L'!R36</f>
        <v>1376000</v>
      </c>
      <c r="S27" s="105">
        <f>'P&amp;L'!S36</f>
        <v>1376000</v>
      </c>
      <c r="T27" s="105">
        <f>'P&amp;L'!T36</f>
        <v>1376000</v>
      </c>
      <c r="U27" s="105">
        <f>'P&amp;L'!U36</f>
        <v>1376000</v>
      </c>
      <c r="V27" s="105">
        <f>'P&amp;L'!V36</f>
        <v>1376000</v>
      </c>
      <c r="W27" s="105">
        <f>'P&amp;L'!W36</f>
        <v>1376000</v>
      </c>
      <c r="X27" s="105">
        <f>'P&amp;L'!X36</f>
        <v>1376000</v>
      </c>
      <c r="Y27" s="105">
        <f>'P&amp;L'!Y36</f>
        <v>1376000</v>
      </c>
      <c r="Z27" s="105">
        <f>'P&amp;L'!Z36</f>
        <v>1376000</v>
      </c>
      <c r="AA27" s="105">
        <f>'P&amp;L'!AA36</f>
        <v>1376000</v>
      </c>
      <c r="AB27" s="105">
        <f>'P&amp;L'!AB36</f>
        <v>1376000</v>
      </c>
      <c r="AC27" s="104">
        <f t="shared" si="5"/>
        <v>19200000</v>
      </c>
      <c r="AD27" s="105">
        <f>'P&amp;L'!AD36</f>
        <v>1600000</v>
      </c>
      <c r="AE27" s="105">
        <f>'P&amp;L'!AE36</f>
        <v>1600000</v>
      </c>
      <c r="AF27" s="105">
        <f>'P&amp;L'!AF36</f>
        <v>1600000</v>
      </c>
      <c r="AG27" s="105">
        <f>'P&amp;L'!AG36</f>
        <v>1600000</v>
      </c>
      <c r="AH27" s="105">
        <f>'P&amp;L'!AH36</f>
        <v>1600000</v>
      </c>
      <c r="AI27" s="105">
        <f>'P&amp;L'!AI36</f>
        <v>1600000</v>
      </c>
      <c r="AJ27" s="105">
        <f>'P&amp;L'!AJ36</f>
        <v>1600000</v>
      </c>
      <c r="AK27" s="105">
        <f>'P&amp;L'!AK36</f>
        <v>1600000</v>
      </c>
      <c r="AL27" s="105">
        <f>'P&amp;L'!AL36</f>
        <v>1600000</v>
      </c>
      <c r="AM27" s="105">
        <f>'P&amp;L'!AM36</f>
        <v>1600000</v>
      </c>
      <c r="AN27" s="105">
        <f>'P&amp;L'!AN36</f>
        <v>1600000</v>
      </c>
      <c r="AO27" s="105">
        <f>'P&amp;L'!AO36</f>
        <v>1600000</v>
      </c>
    </row>
    <row r="28" spans="1:41" ht="17.25" hidden="1" outlineLevel="2" x14ac:dyDescent="0.3">
      <c r="A28" s="103" t="s">
        <v>118</v>
      </c>
      <c r="B28" s="99"/>
      <c r="C28" s="104">
        <f t="shared" si="3"/>
        <v>7056000</v>
      </c>
      <c r="D28" s="105">
        <v>0</v>
      </c>
      <c r="E28" s="105">
        <v>0</v>
      </c>
      <c r="F28" s="105">
        <v>0</v>
      </c>
      <c r="G28" s="105">
        <f>'P&amp;L'!G37/100*112</f>
        <v>784000</v>
      </c>
      <c r="H28" s="105">
        <f>'P&amp;L'!H37/100*112</f>
        <v>784000</v>
      </c>
      <c r="I28" s="105">
        <f>'P&amp;L'!I37/100*112</f>
        <v>784000</v>
      </c>
      <c r="J28" s="105">
        <f>'P&amp;L'!J37/100*112</f>
        <v>784000</v>
      </c>
      <c r="K28" s="105">
        <f>'P&amp;L'!K37/100*112</f>
        <v>784000</v>
      </c>
      <c r="L28" s="105">
        <f>'P&amp;L'!L37/100*112</f>
        <v>784000</v>
      </c>
      <c r="M28" s="105">
        <f>'P&amp;L'!M37/100*112</f>
        <v>784000</v>
      </c>
      <c r="N28" s="105">
        <f>'P&amp;L'!N37/100*112</f>
        <v>784000</v>
      </c>
      <c r="O28" s="105">
        <f>'P&amp;L'!O37/100*112</f>
        <v>784000</v>
      </c>
      <c r="P28" s="104">
        <f t="shared" si="8"/>
        <v>28224000</v>
      </c>
      <c r="Q28" s="105">
        <f>'P&amp;L'!Q37/100*112</f>
        <v>2352000</v>
      </c>
      <c r="R28" s="105">
        <f>'P&amp;L'!R37/100*112</f>
        <v>2352000</v>
      </c>
      <c r="S28" s="105">
        <f>'P&amp;L'!S37/100*112</f>
        <v>2352000</v>
      </c>
      <c r="T28" s="105">
        <f>'P&amp;L'!T37/100*112</f>
        <v>2352000</v>
      </c>
      <c r="U28" s="105">
        <f>'P&amp;L'!U37/100*112</f>
        <v>2352000</v>
      </c>
      <c r="V28" s="105">
        <f>'P&amp;L'!V37/100*112</f>
        <v>2352000</v>
      </c>
      <c r="W28" s="105">
        <f>'P&amp;L'!W37/100*112</f>
        <v>2352000</v>
      </c>
      <c r="X28" s="105">
        <f>'P&amp;L'!X37/100*112</f>
        <v>2352000</v>
      </c>
      <c r="Y28" s="105">
        <f>'P&amp;L'!Y37/100*112</f>
        <v>2352000</v>
      </c>
      <c r="Z28" s="105">
        <f>'P&amp;L'!Z37/100*112</f>
        <v>2352000</v>
      </c>
      <c r="AA28" s="105">
        <f>'P&amp;L'!AA37/100*112</f>
        <v>2352000</v>
      </c>
      <c r="AB28" s="105">
        <f>'P&amp;L'!AB37/100*112</f>
        <v>2352000</v>
      </c>
      <c r="AC28" s="104">
        <f t="shared" si="5"/>
        <v>47040000</v>
      </c>
      <c r="AD28" s="105">
        <f>'P&amp;L'!AD37/100*112</f>
        <v>3920000</v>
      </c>
      <c r="AE28" s="105">
        <f>'P&amp;L'!AE37/100*112</f>
        <v>3920000</v>
      </c>
      <c r="AF28" s="105">
        <f>'P&amp;L'!AF37/100*112</f>
        <v>3920000</v>
      </c>
      <c r="AG28" s="105">
        <f>'P&amp;L'!AG37/100*112</f>
        <v>3920000</v>
      </c>
      <c r="AH28" s="105">
        <f>'P&amp;L'!AH37/100*112</f>
        <v>3920000</v>
      </c>
      <c r="AI28" s="105">
        <f>'P&amp;L'!AI37/100*112</f>
        <v>3920000</v>
      </c>
      <c r="AJ28" s="105">
        <f>'P&amp;L'!AJ37/100*112</f>
        <v>3920000</v>
      </c>
      <c r="AK28" s="105">
        <f>'P&amp;L'!AK37/100*112</f>
        <v>3920000</v>
      </c>
      <c r="AL28" s="105">
        <f>'P&amp;L'!AL37/100*112</f>
        <v>3920000</v>
      </c>
      <c r="AM28" s="105">
        <f>'P&amp;L'!AM37/100*112</f>
        <v>3920000</v>
      </c>
      <c r="AN28" s="105">
        <f>'P&amp;L'!AN37/100*112</f>
        <v>3920000</v>
      </c>
      <c r="AO28" s="105">
        <f>'P&amp;L'!AO37/100*112</f>
        <v>3920000</v>
      </c>
    </row>
    <row r="29" spans="1:41" ht="17.25" hidden="1" outlineLevel="2" x14ac:dyDescent="0.3">
      <c r="A29" s="103" t="s">
        <v>119</v>
      </c>
      <c r="B29" s="99"/>
      <c r="C29" s="104">
        <f t="shared" si="3"/>
        <v>0</v>
      </c>
      <c r="D29" s="105">
        <v>0</v>
      </c>
      <c r="E29" s="105">
        <v>0</v>
      </c>
      <c r="F29" s="105">
        <v>0</v>
      </c>
      <c r="G29" s="105">
        <f>'P&amp;L'!G38/100*112</f>
        <v>0</v>
      </c>
      <c r="H29" s="105">
        <f>'P&amp;L'!H38/100*112</f>
        <v>0</v>
      </c>
      <c r="I29" s="105">
        <f>'P&amp;L'!I38/100*112</f>
        <v>0</v>
      </c>
      <c r="J29" s="105">
        <f>'P&amp;L'!J38/100*112</f>
        <v>0</v>
      </c>
      <c r="K29" s="105">
        <f>'P&amp;L'!K38/100*112</f>
        <v>0</v>
      </c>
      <c r="L29" s="105">
        <f>'P&amp;L'!L38/100*112</f>
        <v>0</v>
      </c>
      <c r="M29" s="105">
        <f>'P&amp;L'!M38/100*112</f>
        <v>0</v>
      </c>
      <c r="N29" s="105">
        <f>'P&amp;L'!N38/100*112</f>
        <v>0</v>
      </c>
      <c r="O29" s="105">
        <f>'P&amp;L'!O38/100*112</f>
        <v>0</v>
      </c>
      <c r="P29" s="104">
        <f t="shared" si="8"/>
        <v>26208000</v>
      </c>
      <c r="Q29" s="105">
        <f>'P&amp;L'!Q38/100*112</f>
        <v>2184000</v>
      </c>
      <c r="R29" s="105">
        <f>'P&amp;L'!R38/100*112</f>
        <v>2184000</v>
      </c>
      <c r="S29" s="105">
        <f>'P&amp;L'!S38/100*112</f>
        <v>2184000</v>
      </c>
      <c r="T29" s="105">
        <f>'P&amp;L'!T38/100*112</f>
        <v>2184000</v>
      </c>
      <c r="U29" s="105">
        <f>'P&amp;L'!U38/100*112</f>
        <v>2184000</v>
      </c>
      <c r="V29" s="105">
        <f>'P&amp;L'!V38/100*112</f>
        <v>2184000</v>
      </c>
      <c r="W29" s="105">
        <f>'P&amp;L'!W38/100*112</f>
        <v>2184000</v>
      </c>
      <c r="X29" s="105">
        <f>'P&amp;L'!X38/100*112</f>
        <v>2184000</v>
      </c>
      <c r="Y29" s="105">
        <f>'P&amp;L'!Y38/100*112</f>
        <v>2184000</v>
      </c>
      <c r="Z29" s="105">
        <f>'P&amp;L'!Z38/100*112</f>
        <v>2184000</v>
      </c>
      <c r="AA29" s="105">
        <f>'P&amp;L'!AA38/100*112</f>
        <v>2184000</v>
      </c>
      <c r="AB29" s="105">
        <f>'P&amp;L'!AB38/100*112</f>
        <v>2184000</v>
      </c>
      <c r="AC29" s="104">
        <f t="shared" si="5"/>
        <v>52416000</v>
      </c>
      <c r="AD29" s="105">
        <f>'P&amp;L'!AD38/100*112</f>
        <v>4368000</v>
      </c>
      <c r="AE29" s="105">
        <f>'P&amp;L'!AE38/100*112</f>
        <v>4368000</v>
      </c>
      <c r="AF29" s="105">
        <f>'P&amp;L'!AF38/100*112</f>
        <v>4368000</v>
      </c>
      <c r="AG29" s="105">
        <f>'P&amp;L'!AG38/100*112</f>
        <v>4368000</v>
      </c>
      <c r="AH29" s="105">
        <f>'P&amp;L'!AH38/100*112</f>
        <v>4368000</v>
      </c>
      <c r="AI29" s="105">
        <f>'P&amp;L'!AI38/100*112</f>
        <v>4368000</v>
      </c>
      <c r="AJ29" s="105">
        <f>'P&amp;L'!AJ38/100*112</f>
        <v>4368000</v>
      </c>
      <c r="AK29" s="105">
        <f>'P&amp;L'!AK38/100*112</f>
        <v>4368000</v>
      </c>
      <c r="AL29" s="105">
        <f>'P&amp;L'!AL38/100*112</f>
        <v>4368000</v>
      </c>
      <c r="AM29" s="105">
        <f>'P&amp;L'!AM38/100*112</f>
        <v>4368000</v>
      </c>
      <c r="AN29" s="105">
        <f>'P&amp;L'!AN38/100*112</f>
        <v>4368000</v>
      </c>
      <c r="AO29" s="105">
        <f>'P&amp;L'!AO38/100*112</f>
        <v>4368000</v>
      </c>
    </row>
    <row r="30" spans="1:41" ht="17.25" hidden="1" outlineLevel="2" x14ac:dyDescent="0.3">
      <c r="A30" s="103" t="s">
        <v>120</v>
      </c>
      <c r="B30" s="99"/>
      <c r="C30" s="104">
        <f t="shared" si="3"/>
        <v>14868000</v>
      </c>
      <c r="D30" s="105">
        <v>0</v>
      </c>
      <c r="E30" s="105">
        <v>0</v>
      </c>
      <c r="F30" s="105">
        <v>0</v>
      </c>
      <c r="G30" s="105">
        <f>'P&amp;L'!G39</f>
        <v>0</v>
      </c>
      <c r="H30" s="105">
        <f>'P&amp;L'!H39</f>
        <v>504000</v>
      </c>
      <c r="I30" s="105">
        <f>'P&amp;L'!I39</f>
        <v>1259999.9999999998</v>
      </c>
      <c r="J30" s="105">
        <f>'P&amp;L'!J39</f>
        <v>1763999.9999999998</v>
      </c>
      <c r="K30" s="105">
        <f>'P&amp;L'!K39</f>
        <v>2016000</v>
      </c>
      <c r="L30" s="105">
        <f>'P&amp;L'!L39</f>
        <v>1763999.9999999998</v>
      </c>
      <c r="M30" s="105">
        <f>'P&amp;L'!M39</f>
        <v>2519999.9999999995</v>
      </c>
      <c r="N30" s="105">
        <f>'P&amp;L'!N39</f>
        <v>2519999.9999999995</v>
      </c>
      <c r="O30" s="105">
        <f>'P&amp;L'!O39</f>
        <v>2519999.9999999995</v>
      </c>
      <c r="P30" s="104">
        <f t="shared" si="8"/>
        <v>45612000</v>
      </c>
      <c r="Q30" s="105">
        <f>'P&amp;L'!Q39</f>
        <v>2519999.9999999995</v>
      </c>
      <c r="R30" s="105">
        <f>'P&amp;L'!R39</f>
        <v>3024000</v>
      </c>
      <c r="S30" s="105">
        <f>'P&amp;L'!S39</f>
        <v>3779999.9999999995</v>
      </c>
      <c r="T30" s="105">
        <f>'P&amp;L'!T39</f>
        <v>3779999.9999999995</v>
      </c>
      <c r="U30" s="105">
        <f>'P&amp;L'!U39</f>
        <v>3779999.9999999995</v>
      </c>
      <c r="V30" s="105">
        <f>'P&amp;L'!V39</f>
        <v>3779999.9999999995</v>
      </c>
      <c r="W30" s="105">
        <f>'P&amp;L'!W39</f>
        <v>3275999.9999999995</v>
      </c>
      <c r="X30" s="105">
        <f>'P&amp;L'!X39</f>
        <v>3024000</v>
      </c>
      <c r="Y30" s="105">
        <f>'P&amp;L'!Y39</f>
        <v>3779999.9999999995</v>
      </c>
      <c r="Z30" s="105">
        <f>'P&amp;L'!Z39</f>
        <v>4283999.9999999991</v>
      </c>
      <c r="AA30" s="105">
        <f>'P&amp;L'!AA39</f>
        <v>5039999.9999999991</v>
      </c>
      <c r="AB30" s="105">
        <f>'P&amp;L'!AB39</f>
        <v>5544000</v>
      </c>
      <c r="AC30" s="104">
        <f t="shared" si="5"/>
        <v>147420000</v>
      </c>
      <c r="AD30" s="105">
        <f>'P&amp;L'!AD39</f>
        <v>6299999.9999999991</v>
      </c>
      <c r="AE30" s="105">
        <f>'P&amp;L'!AE39</f>
        <v>6299999.9999999991</v>
      </c>
      <c r="AF30" s="105">
        <f>'P&amp;L'!AF39</f>
        <v>6804000</v>
      </c>
      <c r="AG30" s="105">
        <f>'P&amp;L'!AG39</f>
        <v>8064000</v>
      </c>
      <c r="AH30" s="105">
        <f>'P&amp;L'!AH39</f>
        <v>8819999.9999999981</v>
      </c>
      <c r="AI30" s="105">
        <f>'P&amp;L'!AI39</f>
        <v>9828000</v>
      </c>
      <c r="AJ30" s="105">
        <f>'P&amp;L'!AJ39</f>
        <v>11843999.999999998</v>
      </c>
      <c r="AK30" s="105">
        <f>'P&amp;L'!AK39</f>
        <v>13608000</v>
      </c>
      <c r="AL30" s="105">
        <f>'P&amp;L'!AL39</f>
        <v>15623999.999999996</v>
      </c>
      <c r="AM30" s="105">
        <f>'P&amp;L'!AM39</f>
        <v>17388000</v>
      </c>
      <c r="AN30" s="105">
        <f>'P&amp;L'!AN39</f>
        <v>19907999.999999996</v>
      </c>
      <c r="AO30" s="105">
        <f>'P&amp;L'!AO39</f>
        <v>22931999.999999996</v>
      </c>
    </row>
    <row r="31" spans="1:41" ht="17.25" hidden="1" outlineLevel="2" x14ac:dyDescent="0.3">
      <c r="A31" s="103" t="s">
        <v>121</v>
      </c>
      <c r="B31" s="99"/>
      <c r="C31" s="104">
        <f t="shared" si="3"/>
        <v>32709600</v>
      </c>
      <c r="D31" s="105">
        <v>0</v>
      </c>
      <c r="E31" s="105">
        <v>0</v>
      </c>
      <c r="F31" s="105">
        <v>0</v>
      </c>
      <c r="G31" s="105">
        <f>'P&amp;L'!G40</f>
        <v>0</v>
      </c>
      <c r="H31" s="105">
        <f>'P&amp;L'!H40</f>
        <v>1108800</v>
      </c>
      <c r="I31" s="105">
        <f>'P&amp;L'!I40</f>
        <v>2772000</v>
      </c>
      <c r="J31" s="105">
        <f>'P&amp;L'!J40</f>
        <v>3880799.9999999995</v>
      </c>
      <c r="K31" s="105">
        <f>'P&amp;L'!K40</f>
        <v>4435200</v>
      </c>
      <c r="L31" s="105">
        <f>'P&amp;L'!L40</f>
        <v>3880799.9999999995</v>
      </c>
      <c r="M31" s="105">
        <f>'P&amp;L'!M40</f>
        <v>5544000</v>
      </c>
      <c r="N31" s="105">
        <f>'P&amp;L'!N40</f>
        <v>5544000</v>
      </c>
      <c r="O31" s="105">
        <f>'P&amp;L'!O40</f>
        <v>5544000</v>
      </c>
      <c r="P31" s="104">
        <f t="shared" si="8"/>
        <v>22806000</v>
      </c>
      <c r="Q31" s="105">
        <f>'P&amp;L'!Q40</f>
        <v>1259999.9999999998</v>
      </c>
      <c r="R31" s="105">
        <f>'P&amp;L'!R40</f>
        <v>1512000</v>
      </c>
      <c r="S31" s="105">
        <f>'P&amp;L'!S40</f>
        <v>1889999.9999999998</v>
      </c>
      <c r="T31" s="105">
        <f>'P&amp;L'!T40</f>
        <v>1889999.9999999998</v>
      </c>
      <c r="U31" s="105">
        <f>'P&amp;L'!U40</f>
        <v>1889999.9999999998</v>
      </c>
      <c r="V31" s="105">
        <f>'P&amp;L'!V40</f>
        <v>1889999.9999999998</v>
      </c>
      <c r="W31" s="105">
        <f>'P&amp;L'!W40</f>
        <v>1637999.9999999998</v>
      </c>
      <c r="X31" s="105">
        <f>'P&amp;L'!X40</f>
        <v>1512000</v>
      </c>
      <c r="Y31" s="105">
        <f>'P&amp;L'!Y40</f>
        <v>1889999.9999999998</v>
      </c>
      <c r="Z31" s="105">
        <f>'P&amp;L'!Z40</f>
        <v>2141999.9999999995</v>
      </c>
      <c r="AA31" s="105">
        <f>'P&amp;L'!AA40</f>
        <v>2519999.9999999995</v>
      </c>
      <c r="AB31" s="105">
        <f>'P&amp;L'!AB40</f>
        <v>2772000</v>
      </c>
      <c r="AC31" s="104">
        <f t="shared" si="5"/>
        <v>73710000</v>
      </c>
      <c r="AD31" s="105">
        <f>'P&amp;L'!AD40</f>
        <v>3149999.9999999995</v>
      </c>
      <c r="AE31" s="105">
        <f>'P&amp;L'!AE40</f>
        <v>3149999.9999999995</v>
      </c>
      <c r="AF31" s="105">
        <f>'P&amp;L'!AF40</f>
        <v>3402000</v>
      </c>
      <c r="AG31" s="105">
        <f>'P&amp;L'!AG40</f>
        <v>4032000</v>
      </c>
      <c r="AH31" s="105">
        <f>'P&amp;L'!AH40</f>
        <v>4409999.9999999991</v>
      </c>
      <c r="AI31" s="105">
        <f>'P&amp;L'!AI40</f>
        <v>4914000</v>
      </c>
      <c r="AJ31" s="105">
        <f>'P&amp;L'!AJ40</f>
        <v>5921999.9999999991</v>
      </c>
      <c r="AK31" s="105">
        <f>'P&amp;L'!AK40</f>
        <v>6804000</v>
      </c>
      <c r="AL31" s="105">
        <f>'P&amp;L'!AL40</f>
        <v>7811999.9999999981</v>
      </c>
      <c r="AM31" s="105">
        <f>'P&amp;L'!AM40</f>
        <v>8694000</v>
      </c>
      <c r="AN31" s="105">
        <f>'P&amp;L'!AN40</f>
        <v>9953999.9999999981</v>
      </c>
      <c r="AO31" s="105">
        <f>'P&amp;L'!AO40</f>
        <v>11465999.999999998</v>
      </c>
    </row>
    <row r="32" spans="1:41" ht="17.25" hidden="1" outlineLevel="2" x14ac:dyDescent="0.3">
      <c r="A32" s="103" t="s">
        <v>122</v>
      </c>
      <c r="B32" s="99"/>
      <c r="C32" s="104">
        <f t="shared" si="3"/>
        <v>5400000</v>
      </c>
      <c r="D32" s="105">
        <v>0</v>
      </c>
      <c r="E32" s="105">
        <v>0</v>
      </c>
      <c r="F32" s="105">
        <v>0</v>
      </c>
      <c r="G32" s="105">
        <f>'P&amp;L'!G41</f>
        <v>600000</v>
      </c>
      <c r="H32" s="105">
        <f>'P&amp;L'!H41</f>
        <v>600000</v>
      </c>
      <c r="I32" s="105">
        <f>'P&amp;L'!I41</f>
        <v>600000</v>
      </c>
      <c r="J32" s="105">
        <f>'P&amp;L'!J41</f>
        <v>600000</v>
      </c>
      <c r="K32" s="105">
        <f>'P&amp;L'!K41</f>
        <v>600000</v>
      </c>
      <c r="L32" s="105">
        <f>'P&amp;L'!L41</f>
        <v>600000</v>
      </c>
      <c r="M32" s="105">
        <f>'P&amp;L'!M41</f>
        <v>600000</v>
      </c>
      <c r="N32" s="105">
        <f>'P&amp;L'!N41</f>
        <v>600000</v>
      </c>
      <c r="O32" s="105">
        <f>'P&amp;L'!O41</f>
        <v>600000</v>
      </c>
      <c r="P32" s="104">
        <f t="shared" si="8"/>
        <v>10800000</v>
      </c>
      <c r="Q32" s="105">
        <f>'P&amp;L'!Q41</f>
        <v>900000</v>
      </c>
      <c r="R32" s="105">
        <f>'P&amp;L'!R41</f>
        <v>900000</v>
      </c>
      <c r="S32" s="105">
        <f>'P&amp;L'!S41</f>
        <v>900000</v>
      </c>
      <c r="T32" s="105">
        <f>'P&amp;L'!T41</f>
        <v>900000</v>
      </c>
      <c r="U32" s="105">
        <f>'P&amp;L'!U41</f>
        <v>900000</v>
      </c>
      <c r="V32" s="105">
        <f>'P&amp;L'!V41</f>
        <v>900000</v>
      </c>
      <c r="W32" s="105">
        <f>'P&amp;L'!W41</f>
        <v>900000</v>
      </c>
      <c r="X32" s="105">
        <f>'P&amp;L'!X41</f>
        <v>900000</v>
      </c>
      <c r="Y32" s="105">
        <f>'P&amp;L'!Y41</f>
        <v>900000</v>
      </c>
      <c r="Z32" s="105">
        <f>'P&amp;L'!Z41</f>
        <v>900000</v>
      </c>
      <c r="AA32" s="105">
        <f>'P&amp;L'!AA41</f>
        <v>900000</v>
      </c>
      <c r="AB32" s="105">
        <f>'P&amp;L'!AB41</f>
        <v>900000</v>
      </c>
      <c r="AC32" s="104">
        <f t="shared" si="5"/>
        <v>21600000</v>
      </c>
      <c r="AD32" s="105">
        <f>'P&amp;L'!AD41</f>
        <v>1800000</v>
      </c>
      <c r="AE32" s="105">
        <f>'P&amp;L'!AE41</f>
        <v>1800000</v>
      </c>
      <c r="AF32" s="105">
        <f>'P&amp;L'!AF41</f>
        <v>1800000</v>
      </c>
      <c r="AG32" s="105">
        <f>'P&amp;L'!AG41</f>
        <v>1800000</v>
      </c>
      <c r="AH32" s="105">
        <f>'P&amp;L'!AH41</f>
        <v>1800000</v>
      </c>
      <c r="AI32" s="105">
        <f>'P&amp;L'!AI41</f>
        <v>1800000</v>
      </c>
      <c r="AJ32" s="105">
        <f>'P&amp;L'!AJ41</f>
        <v>1800000</v>
      </c>
      <c r="AK32" s="105">
        <f>'P&amp;L'!AK41</f>
        <v>1800000</v>
      </c>
      <c r="AL32" s="105">
        <f>'P&amp;L'!AL41</f>
        <v>1800000</v>
      </c>
      <c r="AM32" s="105">
        <f>'P&amp;L'!AM41</f>
        <v>1800000</v>
      </c>
      <c r="AN32" s="105">
        <f>'P&amp;L'!AN41</f>
        <v>1800000</v>
      </c>
      <c r="AO32" s="105">
        <f>'P&amp;L'!AO41</f>
        <v>1800000</v>
      </c>
    </row>
    <row r="33" spans="1:41" ht="17.25" hidden="1" outlineLevel="2" x14ac:dyDescent="0.3">
      <c r="A33" s="103" t="s">
        <v>123</v>
      </c>
      <c r="B33" s="99"/>
      <c r="C33" s="104">
        <f t="shared" si="3"/>
        <v>7200000</v>
      </c>
      <c r="D33" s="105">
        <v>0</v>
      </c>
      <c r="E33" s="105">
        <v>0</v>
      </c>
      <c r="F33" s="105">
        <v>0</v>
      </c>
      <c r="G33" s="105">
        <f>'P&amp;L'!G42</f>
        <v>800000</v>
      </c>
      <c r="H33" s="105">
        <f>'P&amp;L'!H42</f>
        <v>800000</v>
      </c>
      <c r="I33" s="105">
        <f>'P&amp;L'!I42</f>
        <v>800000</v>
      </c>
      <c r="J33" s="105">
        <f>'P&amp;L'!J42</f>
        <v>800000</v>
      </c>
      <c r="K33" s="105">
        <f>'P&amp;L'!K42</f>
        <v>800000</v>
      </c>
      <c r="L33" s="105">
        <f>'P&amp;L'!L42</f>
        <v>800000</v>
      </c>
      <c r="M33" s="105">
        <f>'P&amp;L'!M42</f>
        <v>800000</v>
      </c>
      <c r="N33" s="105">
        <f>'P&amp;L'!N42</f>
        <v>800000</v>
      </c>
      <c r="O33" s="105">
        <f>'P&amp;L'!O42</f>
        <v>800000</v>
      </c>
      <c r="P33" s="104">
        <f t="shared" si="8"/>
        <v>14400000</v>
      </c>
      <c r="Q33" s="105">
        <f>'P&amp;L'!Q42</f>
        <v>1200000</v>
      </c>
      <c r="R33" s="105">
        <f>'P&amp;L'!R42</f>
        <v>1200000</v>
      </c>
      <c r="S33" s="105">
        <f>'P&amp;L'!S42</f>
        <v>1200000</v>
      </c>
      <c r="T33" s="105">
        <f>'P&amp;L'!T42</f>
        <v>1200000</v>
      </c>
      <c r="U33" s="105">
        <f>'P&amp;L'!U42</f>
        <v>1200000</v>
      </c>
      <c r="V33" s="105">
        <f>'P&amp;L'!V42</f>
        <v>1200000</v>
      </c>
      <c r="W33" s="105">
        <f>'P&amp;L'!W42</f>
        <v>1200000</v>
      </c>
      <c r="X33" s="105">
        <f>'P&amp;L'!X42</f>
        <v>1200000</v>
      </c>
      <c r="Y33" s="105">
        <f>'P&amp;L'!Y42</f>
        <v>1200000</v>
      </c>
      <c r="Z33" s="105">
        <f>'P&amp;L'!Z42</f>
        <v>1200000</v>
      </c>
      <c r="AA33" s="105">
        <f>'P&amp;L'!AA42</f>
        <v>1200000</v>
      </c>
      <c r="AB33" s="105">
        <f>'P&amp;L'!AB42</f>
        <v>1200000</v>
      </c>
      <c r="AC33" s="104">
        <f t="shared" si="5"/>
        <v>28800000</v>
      </c>
      <c r="AD33" s="105">
        <f>'P&amp;L'!AD42</f>
        <v>2400000</v>
      </c>
      <c r="AE33" s="105">
        <f>'P&amp;L'!AE42</f>
        <v>2400000</v>
      </c>
      <c r="AF33" s="105">
        <f>'P&amp;L'!AF42</f>
        <v>2400000</v>
      </c>
      <c r="AG33" s="105">
        <f>'P&amp;L'!AG42</f>
        <v>2400000</v>
      </c>
      <c r="AH33" s="105">
        <f>'P&amp;L'!AH42</f>
        <v>2400000</v>
      </c>
      <c r="AI33" s="105">
        <f>'P&amp;L'!AI42</f>
        <v>2400000</v>
      </c>
      <c r="AJ33" s="105">
        <f>'P&amp;L'!AJ42</f>
        <v>2400000</v>
      </c>
      <c r="AK33" s="105">
        <f>'P&amp;L'!AK42</f>
        <v>2400000</v>
      </c>
      <c r="AL33" s="105">
        <f>'P&amp;L'!AL42</f>
        <v>2400000</v>
      </c>
      <c r="AM33" s="105">
        <f>'P&amp;L'!AM42</f>
        <v>2400000</v>
      </c>
      <c r="AN33" s="105">
        <f>'P&amp;L'!AN42</f>
        <v>2400000</v>
      </c>
      <c r="AO33" s="105">
        <f>'P&amp;L'!AO42</f>
        <v>2400000</v>
      </c>
    </row>
    <row r="34" spans="1:41" ht="17.25" hidden="1" outlineLevel="2" x14ac:dyDescent="0.3">
      <c r="A34" s="103" t="s">
        <v>124</v>
      </c>
      <c r="B34" s="99"/>
      <c r="C34" s="104">
        <f t="shared" si="3"/>
        <v>3600000</v>
      </c>
      <c r="D34" s="105">
        <v>0</v>
      </c>
      <c r="E34" s="105">
        <v>0</v>
      </c>
      <c r="F34" s="105">
        <v>0</v>
      </c>
      <c r="G34" s="105">
        <f>'P&amp;L'!G43</f>
        <v>400000</v>
      </c>
      <c r="H34" s="105">
        <f>'P&amp;L'!H43</f>
        <v>400000</v>
      </c>
      <c r="I34" s="105">
        <f>'P&amp;L'!I43</f>
        <v>400000</v>
      </c>
      <c r="J34" s="105">
        <f>'P&amp;L'!J43</f>
        <v>400000</v>
      </c>
      <c r="K34" s="105">
        <f>'P&amp;L'!K43</f>
        <v>400000</v>
      </c>
      <c r="L34" s="105">
        <f>'P&amp;L'!L43</f>
        <v>400000</v>
      </c>
      <c r="M34" s="105">
        <f>'P&amp;L'!M43</f>
        <v>400000</v>
      </c>
      <c r="N34" s="105">
        <f>'P&amp;L'!N43</f>
        <v>400000</v>
      </c>
      <c r="O34" s="105">
        <f>'P&amp;L'!O43</f>
        <v>400000</v>
      </c>
      <c r="P34" s="104">
        <f t="shared" si="8"/>
        <v>7200000</v>
      </c>
      <c r="Q34" s="105">
        <f>'P&amp;L'!Q43</f>
        <v>600000</v>
      </c>
      <c r="R34" s="105">
        <f>'P&amp;L'!R43</f>
        <v>600000</v>
      </c>
      <c r="S34" s="105">
        <f>'P&amp;L'!S43</f>
        <v>600000</v>
      </c>
      <c r="T34" s="105">
        <f>'P&amp;L'!T43</f>
        <v>600000</v>
      </c>
      <c r="U34" s="105">
        <f>'P&amp;L'!U43</f>
        <v>600000</v>
      </c>
      <c r="V34" s="105">
        <f>'P&amp;L'!V43</f>
        <v>600000</v>
      </c>
      <c r="W34" s="105">
        <f>'P&amp;L'!W43</f>
        <v>600000</v>
      </c>
      <c r="X34" s="105">
        <f>'P&amp;L'!X43</f>
        <v>600000</v>
      </c>
      <c r="Y34" s="105">
        <f>'P&amp;L'!Y43</f>
        <v>600000</v>
      </c>
      <c r="Z34" s="105">
        <f>'P&amp;L'!Z43</f>
        <v>600000</v>
      </c>
      <c r="AA34" s="105">
        <f>'P&amp;L'!AA43</f>
        <v>600000</v>
      </c>
      <c r="AB34" s="105">
        <f>'P&amp;L'!AB43</f>
        <v>600000</v>
      </c>
      <c r="AC34" s="104">
        <f t="shared" si="5"/>
        <v>14400000</v>
      </c>
      <c r="AD34" s="105">
        <f>'P&amp;L'!AD43</f>
        <v>1200000</v>
      </c>
      <c r="AE34" s="105">
        <f>'P&amp;L'!AE43</f>
        <v>1200000</v>
      </c>
      <c r="AF34" s="105">
        <f>'P&amp;L'!AF43</f>
        <v>1200000</v>
      </c>
      <c r="AG34" s="105">
        <f>'P&amp;L'!AG43</f>
        <v>1200000</v>
      </c>
      <c r="AH34" s="105">
        <f>'P&amp;L'!AH43</f>
        <v>1200000</v>
      </c>
      <c r="AI34" s="105">
        <f>'P&amp;L'!AI43</f>
        <v>1200000</v>
      </c>
      <c r="AJ34" s="105">
        <f>'P&amp;L'!AJ43</f>
        <v>1200000</v>
      </c>
      <c r="AK34" s="105">
        <f>'P&amp;L'!AK43</f>
        <v>1200000</v>
      </c>
      <c r="AL34" s="105">
        <f>'P&amp;L'!AL43</f>
        <v>1200000</v>
      </c>
      <c r="AM34" s="105">
        <f>'P&amp;L'!AM43</f>
        <v>1200000</v>
      </c>
      <c r="AN34" s="105">
        <f>'P&amp;L'!AN43</f>
        <v>1200000</v>
      </c>
      <c r="AO34" s="105">
        <f>'P&amp;L'!AO43</f>
        <v>1200000</v>
      </c>
    </row>
    <row r="35" spans="1:41" ht="17.25" hidden="1" outlineLevel="2" x14ac:dyDescent="0.3">
      <c r="A35" s="103" t="s">
        <v>125</v>
      </c>
      <c r="B35" s="99"/>
      <c r="C35" s="104">
        <f t="shared" si="3"/>
        <v>107242546.19904</v>
      </c>
      <c r="D35" s="105">
        <f>'P&amp;L'!D23</f>
        <v>0</v>
      </c>
      <c r="E35" s="105">
        <f>'P&amp;L'!E23</f>
        <v>0</v>
      </c>
      <c r="F35" s="105">
        <f>'P&amp;L'!F23</f>
        <v>0</v>
      </c>
      <c r="G35" s="105">
        <f>'P&amp;L'!G23</f>
        <v>0</v>
      </c>
      <c r="H35" s="105">
        <f>'P&amp;L'!H23</f>
        <v>3635340.5491200006</v>
      </c>
      <c r="I35" s="105">
        <f>'P&amp;L'!I23</f>
        <v>9088351.3728</v>
      </c>
      <c r="J35" s="105">
        <f>'P&amp;L'!J23</f>
        <v>12723691.921919998</v>
      </c>
      <c r="K35" s="105">
        <f>'P&amp;L'!K23</f>
        <v>14541362.196480002</v>
      </c>
      <c r="L35" s="105">
        <f>'P&amp;L'!L23</f>
        <v>12723691.921919998</v>
      </c>
      <c r="M35" s="105">
        <f>'P&amp;L'!M23</f>
        <v>18176702.7456</v>
      </c>
      <c r="N35" s="105">
        <f>'P&amp;L'!N23</f>
        <v>18176702.7456</v>
      </c>
      <c r="O35" s="105">
        <f>'P&amp;L'!O23</f>
        <v>18176702.7456</v>
      </c>
      <c r="P35" s="104">
        <f t="shared" si="8"/>
        <v>328998319.69535995</v>
      </c>
      <c r="Q35" s="105">
        <f>'P&amp;L'!Q23</f>
        <v>18176702.7456</v>
      </c>
      <c r="R35" s="105">
        <f>'P&amp;L'!R23</f>
        <v>21812043.294720002</v>
      </c>
      <c r="S35" s="105">
        <f>'P&amp;L'!S23</f>
        <v>27265054.118399996</v>
      </c>
      <c r="T35" s="105">
        <f>'P&amp;L'!T23</f>
        <v>27265054.118399996</v>
      </c>
      <c r="U35" s="105">
        <f>'P&amp;L'!U23</f>
        <v>27265054.118399996</v>
      </c>
      <c r="V35" s="105">
        <f>'P&amp;L'!V23</f>
        <v>27265054.118399996</v>
      </c>
      <c r="W35" s="105">
        <f>'P&amp;L'!W23</f>
        <v>23629713.569279999</v>
      </c>
      <c r="X35" s="105">
        <f>'P&amp;L'!X23</f>
        <v>21812043.294720002</v>
      </c>
      <c r="Y35" s="105">
        <f>'P&amp;L'!Y23</f>
        <v>27265054.118399996</v>
      </c>
      <c r="Z35" s="105">
        <f>'P&amp;L'!Z23</f>
        <v>30900394.667519998</v>
      </c>
      <c r="AA35" s="105">
        <f>'P&amp;L'!AA23</f>
        <v>36353405.4912</v>
      </c>
      <c r="AB35" s="105">
        <f>'P&amp;L'!AB23</f>
        <v>39988746.040320002</v>
      </c>
      <c r="AC35" s="104">
        <f t="shared" si="5"/>
        <v>1063337110.6176001</v>
      </c>
      <c r="AD35" s="105">
        <f>'P&amp;L'!AD23</f>
        <v>45441756.864</v>
      </c>
      <c r="AE35" s="105">
        <f>'P&amp;L'!AE23</f>
        <v>45441756.864</v>
      </c>
      <c r="AF35" s="105">
        <f>'P&amp;L'!AF23</f>
        <v>49077097.413120002</v>
      </c>
      <c r="AG35" s="105">
        <f>'P&amp;L'!AG23</f>
        <v>58165448.785920009</v>
      </c>
      <c r="AH35" s="105">
        <f>'P&amp;L'!AH23</f>
        <v>63618459.609599993</v>
      </c>
      <c r="AI35" s="105">
        <f>'P&amp;L'!AI23</f>
        <v>70889140.707840011</v>
      </c>
      <c r="AJ35" s="105">
        <f>'P&amp;L'!AJ23</f>
        <v>85430502.904319987</v>
      </c>
      <c r="AK35" s="105">
        <f>'P&amp;L'!AK23</f>
        <v>98154194.826240003</v>
      </c>
      <c r="AL35" s="105">
        <f>'P&amp;L'!AL23</f>
        <v>112695557.02271998</v>
      </c>
      <c r="AM35" s="105">
        <f>'P&amp;L'!AM23</f>
        <v>125419248.94464001</v>
      </c>
      <c r="AN35" s="105">
        <f>'P&amp;L'!AN23</f>
        <v>143595951.69024003</v>
      </c>
      <c r="AO35" s="105">
        <f>'P&amp;L'!AO23</f>
        <v>165407994.98495999</v>
      </c>
    </row>
    <row r="36" spans="1:41" ht="17.25" hidden="1" outlineLevel="2" x14ac:dyDescent="0.3">
      <c r="A36" s="103" t="s">
        <v>126</v>
      </c>
      <c r="B36" s="99"/>
      <c r="C36" s="104">
        <f t="shared" si="3"/>
        <v>59472000</v>
      </c>
      <c r="D36" s="105">
        <f>'P&amp;L'!D47</f>
        <v>0</v>
      </c>
      <c r="E36" s="105">
        <f>'P&amp;L'!E47</f>
        <v>0</v>
      </c>
      <c r="F36" s="105">
        <f>'P&amp;L'!F47</f>
        <v>0</v>
      </c>
      <c r="G36" s="105">
        <f>'P&amp;L'!G47</f>
        <v>0</v>
      </c>
      <c r="H36" s="105">
        <f>'P&amp;L'!H47</f>
        <v>2016000</v>
      </c>
      <c r="I36" s="105">
        <f>'P&amp;L'!I47</f>
        <v>5039999.9999999991</v>
      </c>
      <c r="J36" s="105">
        <f>'P&amp;L'!J47</f>
        <v>7055999.9999999991</v>
      </c>
      <c r="K36" s="105">
        <f>'P&amp;L'!K47</f>
        <v>8064000</v>
      </c>
      <c r="L36" s="105">
        <f>'P&amp;L'!L47</f>
        <v>7055999.9999999991</v>
      </c>
      <c r="M36" s="105">
        <f>'P&amp;L'!M47</f>
        <v>10079999.999999998</v>
      </c>
      <c r="N36" s="105">
        <f>'P&amp;L'!N47</f>
        <v>10079999.999999998</v>
      </c>
      <c r="O36" s="105">
        <f>'P&amp;L'!O47</f>
        <v>10079999.999999998</v>
      </c>
      <c r="P36" s="104">
        <f t="shared" si="8"/>
        <v>182448000</v>
      </c>
      <c r="Q36" s="105">
        <f>'P&amp;L'!Q47</f>
        <v>10079999.999999998</v>
      </c>
      <c r="R36" s="105">
        <f>'P&amp;L'!R47</f>
        <v>12096000</v>
      </c>
      <c r="S36" s="105">
        <f>'P&amp;L'!S47</f>
        <v>15119999.999999998</v>
      </c>
      <c r="T36" s="105">
        <f>'P&amp;L'!T47</f>
        <v>15119999.999999998</v>
      </c>
      <c r="U36" s="105">
        <f>'P&amp;L'!U47</f>
        <v>15119999.999999998</v>
      </c>
      <c r="V36" s="105">
        <f>'P&amp;L'!V47</f>
        <v>15119999.999999998</v>
      </c>
      <c r="W36" s="105">
        <f>'P&amp;L'!W47</f>
        <v>13103999.999999998</v>
      </c>
      <c r="X36" s="105">
        <f>'P&amp;L'!X47</f>
        <v>12096000</v>
      </c>
      <c r="Y36" s="105">
        <f>'P&amp;L'!Y47</f>
        <v>15119999.999999998</v>
      </c>
      <c r="Z36" s="105">
        <f>'P&amp;L'!Z47</f>
        <v>17135999.999999996</v>
      </c>
      <c r="AA36" s="105">
        <f>'P&amp;L'!AA47</f>
        <v>20159999.999999996</v>
      </c>
      <c r="AB36" s="105">
        <f>'P&amp;L'!AB47</f>
        <v>22176000</v>
      </c>
      <c r="AC36" s="104">
        <f t="shared" si="5"/>
        <v>589680000</v>
      </c>
      <c r="AD36" s="105">
        <f>'P&amp;L'!AD47</f>
        <v>25199999.999999996</v>
      </c>
      <c r="AE36" s="105">
        <f>'P&amp;L'!AE47</f>
        <v>25199999.999999996</v>
      </c>
      <c r="AF36" s="105">
        <f>'P&amp;L'!AF47</f>
        <v>27216000</v>
      </c>
      <c r="AG36" s="105">
        <f>'P&amp;L'!AG47</f>
        <v>32256000</v>
      </c>
      <c r="AH36" s="105">
        <f>'P&amp;L'!AH47</f>
        <v>35279999.999999993</v>
      </c>
      <c r="AI36" s="105">
        <f>'P&amp;L'!AI47</f>
        <v>39312000</v>
      </c>
      <c r="AJ36" s="105">
        <f>'P&amp;L'!AJ47</f>
        <v>47375999.999999993</v>
      </c>
      <c r="AK36" s="105">
        <f>'P&amp;L'!AK47</f>
        <v>54432000</v>
      </c>
      <c r="AL36" s="105">
        <f>'P&amp;L'!AL47</f>
        <v>62495999.999999985</v>
      </c>
      <c r="AM36" s="105">
        <f>'P&amp;L'!AM47</f>
        <v>69552000</v>
      </c>
      <c r="AN36" s="105">
        <f>'P&amp;L'!AN47</f>
        <v>79631999.999999985</v>
      </c>
      <c r="AO36" s="105">
        <f>'P&amp;L'!AO47</f>
        <v>91727999.999999985</v>
      </c>
    </row>
    <row r="37" spans="1:41" ht="17.25" x14ac:dyDescent="0.3">
      <c r="A37" s="91" t="s">
        <v>127</v>
      </c>
      <c r="B37" s="92"/>
      <c r="C37" s="109">
        <f t="shared" si="3"/>
        <v>101172662.77056006</v>
      </c>
      <c r="D37" s="110">
        <f t="shared" ref="D37:O37" si="50">D38-D41</f>
        <v>0</v>
      </c>
      <c r="E37" s="110">
        <f t="shared" si="50"/>
        <v>0</v>
      </c>
      <c r="F37" s="110">
        <f t="shared" si="50"/>
        <v>0</v>
      </c>
      <c r="G37" s="110">
        <f t="shared" si="50"/>
        <v>70000000</v>
      </c>
      <c r="H37" s="110">
        <f t="shared" si="50"/>
        <v>66402822.56256</v>
      </c>
      <c r="I37" s="110">
        <f t="shared" si="50"/>
        <v>59015880.720000006</v>
      </c>
      <c r="J37" s="110">
        <f t="shared" si="50"/>
        <v>-12759466.991999999</v>
      </c>
      <c r="K37" s="110">
        <f t="shared" si="50"/>
        <v>-14397140.84799999</v>
      </c>
      <c r="L37" s="110">
        <f t="shared" si="50"/>
        <v>-12540716.991999999</v>
      </c>
      <c r="M37" s="110">
        <f t="shared" si="50"/>
        <v>-18328738.559999987</v>
      </c>
      <c r="N37" s="110">
        <f t="shared" si="50"/>
        <v>-18109988.559999987</v>
      </c>
      <c r="O37" s="110">
        <f t="shared" si="50"/>
        <v>-18109988.559999987</v>
      </c>
      <c r="P37" s="109">
        <f t="shared" si="8"/>
        <v>-274877737.76639992</v>
      </c>
      <c r="Q37" s="110">
        <f t="shared" ref="Q37:AB37" si="51">Q38-Q41</f>
        <v>-3432295.423999995</v>
      </c>
      <c r="R37" s="110">
        <f t="shared" si="51"/>
        <v>-5222494.5087999944</v>
      </c>
      <c r="S37" s="110">
        <f t="shared" si="51"/>
        <v>-7776543.1359999897</v>
      </c>
      <c r="T37" s="110">
        <f t="shared" si="51"/>
        <v>-70000000</v>
      </c>
      <c r="U37" s="110">
        <f t="shared" si="51"/>
        <v>-65000000</v>
      </c>
      <c r="V37" s="110">
        <f t="shared" si="51"/>
        <v>-65000000</v>
      </c>
      <c r="W37" s="110">
        <f t="shared" si="51"/>
        <v>-7211344.0511999968</v>
      </c>
      <c r="X37" s="110">
        <f t="shared" si="51"/>
        <v>-6359994.5087999944</v>
      </c>
      <c r="Y37" s="110">
        <f t="shared" si="51"/>
        <v>-8464043.1359999906</v>
      </c>
      <c r="Z37" s="110">
        <f t="shared" si="51"/>
        <v>-10166742.220799996</v>
      </c>
      <c r="AA37" s="110">
        <f t="shared" si="51"/>
        <v>-12270790.84799999</v>
      </c>
      <c r="AB37" s="110">
        <f t="shared" si="51"/>
        <v>-13973489.932799984</v>
      </c>
      <c r="AC37" s="109">
        <f t="shared" si="5"/>
        <v>-579263223.45599949</v>
      </c>
      <c r="AD37" s="110">
        <f t="shared" ref="AD37:AO37" si="52">AD38-AD41</f>
        <v>-22667607.839999985</v>
      </c>
      <c r="AE37" s="110">
        <f t="shared" si="52"/>
        <v>-21992607.839999985</v>
      </c>
      <c r="AF37" s="110">
        <f t="shared" si="52"/>
        <v>-23871656.467199992</v>
      </c>
      <c r="AG37" s="110">
        <f t="shared" si="52"/>
        <v>-30256778.035199974</v>
      </c>
      <c r="AH37" s="110">
        <f t="shared" si="52"/>
        <v>-32737850.975999985</v>
      </c>
      <c r="AI37" s="110">
        <f t="shared" si="52"/>
        <v>-37170948.230399966</v>
      </c>
      <c r="AJ37" s="110">
        <f t="shared" si="52"/>
        <v>-46037142.739199996</v>
      </c>
      <c r="AK37" s="110">
        <f t="shared" si="52"/>
        <v>-54301312.934399985</v>
      </c>
      <c r="AL37" s="110">
        <f t="shared" si="52"/>
        <v>-63167507.443199873</v>
      </c>
      <c r="AM37" s="110">
        <f t="shared" si="52"/>
        <v>-70756677.638399929</v>
      </c>
      <c r="AN37" s="110">
        <f t="shared" si="52"/>
        <v>-81501920.774399891</v>
      </c>
      <c r="AO37" s="110">
        <f t="shared" si="52"/>
        <v>-94801212.537599936</v>
      </c>
    </row>
    <row r="38" spans="1:41" ht="17.25" x14ac:dyDescent="0.3">
      <c r="A38" s="94" t="s">
        <v>104</v>
      </c>
      <c r="B38" s="99"/>
      <c r="C38" s="96">
        <f t="shared" si="3"/>
        <v>200000000</v>
      </c>
      <c r="D38" s="100">
        <f t="shared" ref="D38:O38" si="53">D39+D40</f>
        <v>0</v>
      </c>
      <c r="E38" s="100">
        <f t="shared" si="53"/>
        <v>0</v>
      </c>
      <c r="F38" s="100">
        <f t="shared" si="53"/>
        <v>0</v>
      </c>
      <c r="G38" s="100">
        <f t="shared" si="53"/>
        <v>70000000</v>
      </c>
      <c r="H38" s="100">
        <f t="shared" si="53"/>
        <v>65000000</v>
      </c>
      <c r="I38" s="100">
        <f t="shared" si="53"/>
        <v>65000000</v>
      </c>
      <c r="J38" s="100">
        <f t="shared" si="53"/>
        <v>0</v>
      </c>
      <c r="K38" s="100">
        <f t="shared" si="53"/>
        <v>0</v>
      </c>
      <c r="L38" s="100">
        <f t="shared" si="53"/>
        <v>0</v>
      </c>
      <c r="M38" s="100">
        <f t="shared" si="53"/>
        <v>0</v>
      </c>
      <c r="N38" s="100">
        <f t="shared" si="53"/>
        <v>0</v>
      </c>
      <c r="O38" s="100">
        <f t="shared" si="53"/>
        <v>0</v>
      </c>
      <c r="P38" s="96">
        <f t="shared" si="8"/>
        <v>0</v>
      </c>
      <c r="Q38" s="100">
        <f t="shared" ref="Q38:AB38" si="54">Q39+Q40</f>
        <v>0</v>
      </c>
      <c r="R38" s="100">
        <f t="shared" si="54"/>
        <v>0</v>
      </c>
      <c r="S38" s="100">
        <f t="shared" si="54"/>
        <v>0</v>
      </c>
      <c r="T38" s="100">
        <f t="shared" si="54"/>
        <v>0</v>
      </c>
      <c r="U38" s="100">
        <f t="shared" si="54"/>
        <v>0</v>
      </c>
      <c r="V38" s="100">
        <f t="shared" si="54"/>
        <v>0</v>
      </c>
      <c r="W38" s="100">
        <f t="shared" si="54"/>
        <v>0</v>
      </c>
      <c r="X38" s="100">
        <f t="shared" si="54"/>
        <v>0</v>
      </c>
      <c r="Y38" s="100">
        <f t="shared" si="54"/>
        <v>0</v>
      </c>
      <c r="Z38" s="100">
        <f t="shared" si="54"/>
        <v>0</v>
      </c>
      <c r="AA38" s="100">
        <f t="shared" si="54"/>
        <v>0</v>
      </c>
      <c r="AB38" s="100">
        <f t="shared" si="54"/>
        <v>0</v>
      </c>
      <c r="AC38" s="96">
        <f t="shared" si="5"/>
        <v>0</v>
      </c>
      <c r="AD38" s="100">
        <f t="shared" ref="AD38:AO38" si="55">AD39+AD40</f>
        <v>0</v>
      </c>
      <c r="AE38" s="100">
        <f t="shared" si="55"/>
        <v>0</v>
      </c>
      <c r="AF38" s="100">
        <f t="shared" si="55"/>
        <v>0</v>
      </c>
      <c r="AG38" s="100">
        <f t="shared" si="55"/>
        <v>0</v>
      </c>
      <c r="AH38" s="100">
        <f t="shared" si="55"/>
        <v>0</v>
      </c>
      <c r="AI38" s="100">
        <f t="shared" si="55"/>
        <v>0</v>
      </c>
      <c r="AJ38" s="100">
        <f t="shared" si="55"/>
        <v>0</v>
      </c>
      <c r="AK38" s="100">
        <f t="shared" si="55"/>
        <v>0</v>
      </c>
      <c r="AL38" s="100">
        <f t="shared" si="55"/>
        <v>0</v>
      </c>
      <c r="AM38" s="100">
        <f t="shared" si="55"/>
        <v>0</v>
      </c>
      <c r="AN38" s="100">
        <f t="shared" si="55"/>
        <v>0</v>
      </c>
      <c r="AO38" s="100">
        <f t="shared" si="55"/>
        <v>0</v>
      </c>
    </row>
    <row r="39" spans="1:41" ht="17.25" outlineLevel="1" x14ac:dyDescent="0.3">
      <c r="A39" s="103" t="s">
        <v>128</v>
      </c>
      <c r="B39" s="99"/>
      <c r="C39" s="104">
        <f t="shared" si="3"/>
        <v>200000000</v>
      </c>
      <c r="D39" s="105">
        <f>'ФИН ЗАЕМ'!F5</f>
        <v>0</v>
      </c>
      <c r="E39" s="105">
        <f>'ФИН ЗАЕМ'!G5</f>
        <v>0</v>
      </c>
      <c r="F39" s="105">
        <f>'ФИН ЗАЕМ'!H5</f>
        <v>0</v>
      </c>
      <c r="G39" s="105">
        <f>'ФИН ЗАЕМ'!I5</f>
        <v>70000000</v>
      </c>
      <c r="H39" s="105">
        <f>'ФИН ЗАЕМ'!J5</f>
        <v>65000000</v>
      </c>
      <c r="I39" s="105">
        <f>'ФИН ЗАЕМ'!K5</f>
        <v>65000000</v>
      </c>
      <c r="J39" s="105">
        <f>'ФИН ЗАЕМ'!L5</f>
        <v>0</v>
      </c>
      <c r="K39" s="105">
        <f>'ФИН ЗАЕМ'!M5</f>
        <v>0</v>
      </c>
      <c r="L39" s="105">
        <f>'ФИН ЗАЕМ'!N5</f>
        <v>0</v>
      </c>
      <c r="M39" s="105">
        <f>'ФИН ЗАЕМ'!O5</f>
        <v>0</v>
      </c>
      <c r="N39" s="105">
        <f>'ФИН ЗАЕМ'!P5</f>
        <v>0</v>
      </c>
      <c r="O39" s="105">
        <f>'ФИН ЗАЕМ'!Q5</f>
        <v>0</v>
      </c>
      <c r="P39" s="104">
        <f t="shared" si="8"/>
        <v>0</v>
      </c>
      <c r="Q39" s="105">
        <f>'ФИН ЗАЕМ'!S5</f>
        <v>0</v>
      </c>
      <c r="R39" s="105">
        <f>'ФИН ЗАЕМ'!T5</f>
        <v>0</v>
      </c>
      <c r="S39" s="105">
        <f>'ФИН ЗАЕМ'!U5</f>
        <v>0</v>
      </c>
      <c r="T39" s="105">
        <f>'ФИН ЗАЕМ'!V5</f>
        <v>0</v>
      </c>
      <c r="U39" s="105">
        <f>'ФИН ЗАЕМ'!W5</f>
        <v>0</v>
      </c>
      <c r="V39" s="105">
        <f>'ФИН ЗАЕМ'!X5</f>
        <v>0</v>
      </c>
      <c r="W39" s="105">
        <f>'ФИН ЗАЕМ'!Y5</f>
        <v>0</v>
      </c>
      <c r="X39" s="105">
        <f>'ФИН ЗАЕМ'!Z5</f>
        <v>0</v>
      </c>
      <c r="Y39" s="105">
        <f>'ФИН ЗАЕМ'!AA5</f>
        <v>0</v>
      </c>
      <c r="Z39" s="105">
        <f>'ФИН ЗАЕМ'!AB5</f>
        <v>0</v>
      </c>
      <c r="AA39" s="105">
        <f>'ФИН ЗАЕМ'!AC5</f>
        <v>0</v>
      </c>
      <c r="AB39" s="105">
        <f>'ФИН ЗАЕМ'!AD5</f>
        <v>0</v>
      </c>
      <c r="AC39" s="104">
        <f t="shared" si="5"/>
        <v>0</v>
      </c>
      <c r="AD39" s="105">
        <v>0</v>
      </c>
      <c r="AE39" s="105">
        <v>0</v>
      </c>
      <c r="AF39" s="105">
        <v>0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05">
        <v>0</v>
      </c>
      <c r="AM39" s="105">
        <v>0</v>
      </c>
      <c r="AN39" s="105">
        <v>0</v>
      </c>
      <c r="AO39" s="105">
        <v>0</v>
      </c>
    </row>
    <row r="40" spans="1:41" ht="17.25" outlineLevel="1" x14ac:dyDescent="0.3">
      <c r="A40" s="103" t="s">
        <v>129</v>
      </c>
      <c r="B40" s="99"/>
      <c r="C40" s="104">
        <f t="shared" si="3"/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4">
        <f t="shared" si="8"/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4">
        <f t="shared" si="5"/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5">
        <v>0</v>
      </c>
      <c r="AN40" s="105">
        <v>0</v>
      </c>
      <c r="AO40" s="105">
        <v>0</v>
      </c>
    </row>
    <row r="41" spans="1:41" ht="17.25" x14ac:dyDescent="0.3">
      <c r="A41" s="94" t="s">
        <v>105</v>
      </c>
      <c r="B41" s="99"/>
      <c r="C41" s="96">
        <f t="shared" si="3"/>
        <v>98827337.229439944</v>
      </c>
      <c r="D41" s="100">
        <f t="shared" ref="D41:O41" si="56">D42+D43+D44</f>
        <v>0</v>
      </c>
      <c r="E41" s="100">
        <f t="shared" si="56"/>
        <v>0</v>
      </c>
      <c r="F41" s="100">
        <f t="shared" si="56"/>
        <v>0</v>
      </c>
      <c r="G41" s="100">
        <f t="shared" si="56"/>
        <v>0</v>
      </c>
      <c r="H41" s="100">
        <f t="shared" si="56"/>
        <v>-1402822.5625599995</v>
      </c>
      <c r="I41" s="100">
        <f t="shared" si="56"/>
        <v>5984119.2799999937</v>
      </c>
      <c r="J41" s="100">
        <f t="shared" si="56"/>
        <v>12759466.991999999</v>
      </c>
      <c r="K41" s="100">
        <f t="shared" si="56"/>
        <v>14397140.84799999</v>
      </c>
      <c r="L41" s="100">
        <f t="shared" si="56"/>
        <v>12540716.991999999</v>
      </c>
      <c r="M41" s="100">
        <f t="shared" si="56"/>
        <v>18328738.559999987</v>
      </c>
      <c r="N41" s="100">
        <f t="shared" si="56"/>
        <v>18109988.559999987</v>
      </c>
      <c r="O41" s="100">
        <f t="shared" si="56"/>
        <v>18109988.559999987</v>
      </c>
      <c r="P41" s="96">
        <f t="shared" si="8"/>
        <v>274877737.76639992</v>
      </c>
      <c r="Q41" s="100">
        <f t="shared" ref="Q41:AB41" si="57">Q42+Q43+Q44</f>
        <v>3432295.423999995</v>
      </c>
      <c r="R41" s="100">
        <f t="shared" si="57"/>
        <v>5222494.5087999944</v>
      </c>
      <c r="S41" s="100">
        <f t="shared" si="57"/>
        <v>7776543.1359999897</v>
      </c>
      <c r="T41" s="100">
        <f t="shared" si="57"/>
        <v>70000000</v>
      </c>
      <c r="U41" s="100">
        <f t="shared" si="57"/>
        <v>65000000</v>
      </c>
      <c r="V41" s="100">
        <f t="shared" si="57"/>
        <v>65000000</v>
      </c>
      <c r="W41" s="100">
        <f t="shared" si="57"/>
        <v>7211344.0511999968</v>
      </c>
      <c r="X41" s="100">
        <f t="shared" si="57"/>
        <v>6359994.5087999944</v>
      </c>
      <c r="Y41" s="100">
        <f t="shared" si="57"/>
        <v>8464043.1359999906</v>
      </c>
      <c r="Z41" s="100">
        <f t="shared" si="57"/>
        <v>10166742.220799996</v>
      </c>
      <c r="AA41" s="100">
        <f t="shared" si="57"/>
        <v>12270790.84799999</v>
      </c>
      <c r="AB41" s="100">
        <f t="shared" si="57"/>
        <v>13973489.932799984</v>
      </c>
      <c r="AC41" s="96">
        <f t="shared" si="5"/>
        <v>579263223.45599949</v>
      </c>
      <c r="AD41" s="100">
        <f t="shared" ref="AD41:AO41" si="58">AD42+AD43+AD44</f>
        <v>22667607.839999985</v>
      </c>
      <c r="AE41" s="100">
        <f t="shared" si="58"/>
        <v>21992607.839999985</v>
      </c>
      <c r="AF41" s="100">
        <f t="shared" si="58"/>
        <v>23871656.467199992</v>
      </c>
      <c r="AG41" s="100">
        <f t="shared" si="58"/>
        <v>30256778.035199974</v>
      </c>
      <c r="AH41" s="100">
        <f t="shared" si="58"/>
        <v>32737850.975999985</v>
      </c>
      <c r="AI41" s="100">
        <f t="shared" si="58"/>
        <v>37170948.230399966</v>
      </c>
      <c r="AJ41" s="100">
        <f t="shared" si="58"/>
        <v>46037142.739199996</v>
      </c>
      <c r="AK41" s="100">
        <f t="shared" si="58"/>
        <v>54301312.934399985</v>
      </c>
      <c r="AL41" s="100">
        <f t="shared" si="58"/>
        <v>63167507.443199873</v>
      </c>
      <c r="AM41" s="100">
        <f t="shared" si="58"/>
        <v>70756677.638399929</v>
      </c>
      <c r="AN41" s="100">
        <f t="shared" si="58"/>
        <v>81501920.774399891</v>
      </c>
      <c r="AO41" s="100">
        <f t="shared" si="58"/>
        <v>94801212.537599936</v>
      </c>
    </row>
    <row r="42" spans="1:41" ht="17.25" outlineLevel="1" x14ac:dyDescent="0.3">
      <c r="A42" s="103" t="s">
        <v>130</v>
      </c>
      <c r="B42" s="99"/>
      <c r="C42" s="104">
        <f t="shared" si="3"/>
        <v>0</v>
      </c>
      <c r="D42" s="105">
        <f>'ФИН ЗАЕМ'!F6</f>
        <v>0</v>
      </c>
      <c r="E42" s="105">
        <f>'ФИН ЗАЕМ'!G6</f>
        <v>0</v>
      </c>
      <c r="F42" s="105">
        <f>'ФИН ЗАЕМ'!H6</f>
        <v>0</v>
      </c>
      <c r="G42" s="105">
        <f>'ФИН ЗАЕМ'!I6</f>
        <v>0</v>
      </c>
      <c r="H42" s="105">
        <f>'ФИН ЗАЕМ'!J6</f>
        <v>0</v>
      </c>
      <c r="I42" s="105">
        <f>'ФИН ЗАЕМ'!K6</f>
        <v>0</v>
      </c>
      <c r="J42" s="105">
        <f>'ФИН ЗАЕМ'!L6</f>
        <v>0</v>
      </c>
      <c r="K42" s="105">
        <f>'ФИН ЗАЕМ'!M6</f>
        <v>0</v>
      </c>
      <c r="L42" s="105">
        <f>'ФИН ЗАЕМ'!N6</f>
        <v>0</v>
      </c>
      <c r="M42" s="105">
        <f>'ФИН ЗАЕМ'!O6</f>
        <v>0</v>
      </c>
      <c r="N42" s="105">
        <f>'ФИН ЗАЕМ'!P6</f>
        <v>0</v>
      </c>
      <c r="O42" s="105">
        <f>'ФИН ЗАЕМ'!Q6</f>
        <v>0</v>
      </c>
      <c r="P42" s="104">
        <f t="shared" si="8"/>
        <v>200000000</v>
      </c>
      <c r="Q42" s="105">
        <f>'ФИН ЗАЕМ'!S6</f>
        <v>0</v>
      </c>
      <c r="R42" s="105">
        <f>'ФИН ЗАЕМ'!T6</f>
        <v>0</v>
      </c>
      <c r="S42" s="105">
        <f>'ФИН ЗАЕМ'!U6</f>
        <v>0</v>
      </c>
      <c r="T42" s="105">
        <f>'ФИН ЗАЕМ'!V6</f>
        <v>70000000</v>
      </c>
      <c r="U42" s="105">
        <f>'ФИН ЗАЕМ'!W6</f>
        <v>65000000</v>
      </c>
      <c r="V42" s="105">
        <f>'ФИН ЗАЕМ'!X6</f>
        <v>65000000</v>
      </c>
      <c r="W42" s="105">
        <f>'ФИН ЗАЕМ'!Y6</f>
        <v>0</v>
      </c>
      <c r="X42" s="105">
        <f>'ФИН ЗАЕМ'!Z6</f>
        <v>0</v>
      </c>
      <c r="Y42" s="105">
        <f>'ФИН ЗАЕМ'!AA6</f>
        <v>0</v>
      </c>
      <c r="Z42" s="105">
        <f>'ФИН ЗАЕМ'!AB6</f>
        <v>0</v>
      </c>
      <c r="AA42" s="105">
        <f>'ФИН ЗАЕМ'!AC6</f>
        <v>0</v>
      </c>
      <c r="AB42" s="105">
        <f>'ФИН ЗАЕМ'!AD6</f>
        <v>0</v>
      </c>
      <c r="AC42" s="104">
        <f t="shared" si="5"/>
        <v>0</v>
      </c>
      <c r="AD42" s="105">
        <f>'ФИН ЗАЕМ'!AF6</f>
        <v>0</v>
      </c>
      <c r="AE42" s="105">
        <f>'ФИН ЗАЕМ'!AG6</f>
        <v>0</v>
      </c>
      <c r="AF42" s="105">
        <f>'ФИН ЗАЕМ'!AH6</f>
        <v>0</v>
      </c>
      <c r="AG42" s="105">
        <f>'ФИН ЗАЕМ'!AI6</f>
        <v>0</v>
      </c>
      <c r="AH42" s="105">
        <f>'ФИН ЗАЕМ'!AJ6</f>
        <v>0</v>
      </c>
      <c r="AI42" s="105">
        <f>'ФИН ЗАЕМ'!AK6</f>
        <v>0</v>
      </c>
      <c r="AJ42" s="105">
        <f>'ФИН ЗАЕМ'!AL6</f>
        <v>0</v>
      </c>
      <c r="AK42" s="105">
        <f>'ФИН ЗАЕМ'!AM6</f>
        <v>0</v>
      </c>
      <c r="AL42" s="105">
        <f>'ФИН ЗАЕМ'!AN6</f>
        <v>0</v>
      </c>
      <c r="AM42" s="105">
        <f>'ФИН ЗАЕМ'!AO6</f>
        <v>0</v>
      </c>
      <c r="AN42" s="105">
        <f>'ФИН ЗАЕМ'!AP6</f>
        <v>0</v>
      </c>
      <c r="AO42" s="105">
        <f>'ФИН ЗАЕМ'!AQ6</f>
        <v>0</v>
      </c>
    </row>
    <row r="43" spans="1:41" ht="17.25" outlineLevel="1" x14ac:dyDescent="0.3">
      <c r="A43" s="103" t="s">
        <v>131</v>
      </c>
      <c r="B43" s="99"/>
      <c r="C43" s="104">
        <f t="shared" si="3"/>
        <v>35000000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f>'ФИН ЗАЕМ'!L7</f>
        <v>6125000</v>
      </c>
      <c r="K43" s="105">
        <f>'ФИН ЗАЕМ'!M7</f>
        <v>5687500</v>
      </c>
      <c r="L43" s="105">
        <f>'ФИН ЗАЕМ'!N7</f>
        <v>5687500</v>
      </c>
      <c r="M43" s="105">
        <f>'ФИН ЗАЕМ'!O7</f>
        <v>6125000</v>
      </c>
      <c r="N43" s="105">
        <f>'ФИН ЗАЕМ'!P7</f>
        <v>5687500</v>
      </c>
      <c r="O43" s="105">
        <f>'ФИН ЗАЕМ'!Q7</f>
        <v>5687500</v>
      </c>
      <c r="P43" s="104">
        <f t="shared" si="8"/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f>'ФИН ЗАЕМ'!Y7</f>
        <v>0</v>
      </c>
      <c r="X43" s="105">
        <f>'ФИН ЗАЕМ'!Z7</f>
        <v>0</v>
      </c>
      <c r="Y43" s="105">
        <f>'ФИН ЗАЕМ'!AA7</f>
        <v>0</v>
      </c>
      <c r="Z43" s="105">
        <f>'ФИН ЗАЕМ'!AB7</f>
        <v>0</v>
      </c>
      <c r="AA43" s="105">
        <f>'ФИН ЗАЕМ'!AC7</f>
        <v>0</v>
      </c>
      <c r="AB43" s="105">
        <f>'ФИН ЗАЕМ'!AD7</f>
        <v>0</v>
      </c>
      <c r="AC43" s="104">
        <f t="shared" si="5"/>
        <v>0</v>
      </c>
      <c r="AD43" s="105">
        <f>'ФИН ЗАЕМ'!AF7</f>
        <v>0</v>
      </c>
      <c r="AE43" s="105">
        <f>'ФИН ЗАЕМ'!AG7</f>
        <v>0</v>
      </c>
      <c r="AF43" s="105">
        <f>'ФИН ЗАЕМ'!AH7</f>
        <v>0</v>
      </c>
      <c r="AG43" s="105">
        <f>'ФИН ЗАЕМ'!AI7</f>
        <v>0</v>
      </c>
      <c r="AH43" s="105">
        <f>'ФИН ЗАЕМ'!AJ7</f>
        <v>0</v>
      </c>
      <c r="AI43" s="105">
        <f>'ФИН ЗАЕМ'!AK7</f>
        <v>0</v>
      </c>
      <c r="AJ43" s="105">
        <f>'ФИН ЗАЕМ'!AL7</f>
        <v>0</v>
      </c>
      <c r="AK43" s="105">
        <f>'ФИН ЗАЕМ'!AM7</f>
        <v>0</v>
      </c>
      <c r="AL43" s="105">
        <f>'ФИН ЗАЕМ'!AN7</f>
        <v>0</v>
      </c>
      <c r="AM43" s="105">
        <f>'ФИН ЗАЕМ'!AO7</f>
        <v>0</v>
      </c>
      <c r="AN43" s="105">
        <f>'ФИН ЗАЕМ'!AP7</f>
        <v>0</v>
      </c>
      <c r="AO43" s="105">
        <f>'ФИН ЗАЕМ'!AQ7</f>
        <v>0</v>
      </c>
    </row>
    <row r="44" spans="1:41" ht="17.25" outlineLevel="1" x14ac:dyDescent="0.3">
      <c r="A44" s="111" t="s">
        <v>132</v>
      </c>
      <c r="B44" s="99"/>
      <c r="C44" s="104">
        <f t="shared" si="3"/>
        <v>63827337.229439944</v>
      </c>
      <c r="D44" s="105">
        <f>'P&amp;L'!D48*50%</f>
        <v>0</v>
      </c>
      <c r="E44" s="105">
        <f>'P&amp;L'!E48*50%</f>
        <v>0</v>
      </c>
      <c r="F44" s="105">
        <f>'P&amp;L'!F48*50%</f>
        <v>0</v>
      </c>
      <c r="G44" s="105">
        <v>0</v>
      </c>
      <c r="H44" s="105">
        <f>'P&amp;L'!H48*50%</f>
        <v>-1402822.5625599995</v>
      </c>
      <c r="I44" s="105">
        <f>'P&amp;L'!I48*50%</f>
        <v>5984119.2799999937</v>
      </c>
      <c r="J44" s="105">
        <f>'P&amp;L'!J48*50%</f>
        <v>6634466.9919999987</v>
      </c>
      <c r="K44" s="105">
        <f>'P&amp;L'!K48*50%</f>
        <v>8709640.84799999</v>
      </c>
      <c r="L44" s="105">
        <f>'P&amp;L'!L48*50%</f>
        <v>6853216.9919999987</v>
      </c>
      <c r="M44" s="105">
        <f>'P&amp;L'!M48*50%</f>
        <v>12203738.559999987</v>
      </c>
      <c r="N44" s="105">
        <f>'P&amp;L'!N48*50%</f>
        <v>12422488.559999987</v>
      </c>
      <c r="O44" s="105">
        <f>'P&amp;L'!O48*50%</f>
        <v>12422488.559999987</v>
      </c>
      <c r="P44" s="104">
        <f t="shared" si="8"/>
        <v>74877737.766399935</v>
      </c>
      <c r="Q44" s="105">
        <f>'P&amp;L'!Q48*20%</f>
        <v>3432295.423999995</v>
      </c>
      <c r="R44" s="105">
        <f>'P&amp;L'!R48*20%</f>
        <v>5222494.5087999944</v>
      </c>
      <c r="S44" s="105">
        <f>'P&amp;L'!S48*20%</f>
        <v>7776543.1359999897</v>
      </c>
      <c r="T44" s="105">
        <f>'P&amp;L'!T48*0%</f>
        <v>0</v>
      </c>
      <c r="U44" s="105">
        <f>'P&amp;L'!U48*0%</f>
        <v>0</v>
      </c>
      <c r="V44" s="105">
        <f>'P&amp;L'!V48*0%</f>
        <v>0</v>
      </c>
      <c r="W44" s="105">
        <f>'P&amp;L'!W48*20%</f>
        <v>7211344.0511999968</v>
      </c>
      <c r="X44" s="105">
        <f>'P&amp;L'!X48*20%</f>
        <v>6359994.5087999944</v>
      </c>
      <c r="Y44" s="105">
        <f>'P&amp;L'!Y48*20%</f>
        <v>8464043.1359999906</v>
      </c>
      <c r="Z44" s="105">
        <f>'P&amp;L'!Z48*20%</f>
        <v>10166742.220799996</v>
      </c>
      <c r="AA44" s="105">
        <f>'P&amp;L'!AA48*20%</f>
        <v>12270790.84799999</v>
      </c>
      <c r="AB44" s="105">
        <f>'P&amp;L'!AB48*20%</f>
        <v>13973489.932799984</v>
      </c>
      <c r="AC44" s="104">
        <f t="shared" si="5"/>
        <v>579263223.45599949</v>
      </c>
      <c r="AD44" s="105">
        <f>'P&amp;L'!AD48*30%</f>
        <v>22667607.839999985</v>
      </c>
      <c r="AE44" s="105">
        <f>'P&amp;L'!AE48*30%</f>
        <v>21992607.839999985</v>
      </c>
      <c r="AF44" s="105">
        <f>'P&amp;L'!AF48*30%</f>
        <v>23871656.467199992</v>
      </c>
      <c r="AG44" s="105">
        <f>'P&amp;L'!AG48*30%</f>
        <v>30256778.035199974</v>
      </c>
      <c r="AH44" s="105">
        <f>'P&amp;L'!AH48*30%</f>
        <v>32737850.975999985</v>
      </c>
      <c r="AI44" s="105">
        <f>'P&amp;L'!AI48*30%</f>
        <v>37170948.230399966</v>
      </c>
      <c r="AJ44" s="105">
        <f>'P&amp;L'!AJ48*30%</f>
        <v>46037142.739199996</v>
      </c>
      <c r="AK44" s="105">
        <f>'P&amp;L'!AK48*30%</f>
        <v>54301312.934399985</v>
      </c>
      <c r="AL44" s="105">
        <f>'P&amp;L'!AL48*30%</f>
        <v>63167507.443199873</v>
      </c>
      <c r="AM44" s="105">
        <f>'P&amp;L'!AM48*30%</f>
        <v>70756677.638399929</v>
      </c>
      <c r="AN44" s="105">
        <f>'P&amp;L'!AN48*30%</f>
        <v>81501920.774399891</v>
      </c>
      <c r="AO44" s="105">
        <f>'P&amp;L'!AO48*30%</f>
        <v>94801212.537599936</v>
      </c>
    </row>
    <row r="45" spans="1:41" ht="17.25" x14ac:dyDescent="0.3">
      <c r="A45" s="91" t="s">
        <v>133</v>
      </c>
      <c r="B45" s="92"/>
      <c r="C45" s="109">
        <f t="shared" si="3"/>
        <v>0</v>
      </c>
      <c r="D45" s="110">
        <f t="shared" ref="D45:O45" si="59">D46-D49</f>
        <v>0</v>
      </c>
      <c r="E45" s="110">
        <f t="shared" si="59"/>
        <v>0</v>
      </c>
      <c r="F45" s="110">
        <f t="shared" si="59"/>
        <v>0</v>
      </c>
      <c r="G45" s="110">
        <f t="shared" si="59"/>
        <v>0</v>
      </c>
      <c r="H45" s="110">
        <f t="shared" si="59"/>
        <v>0</v>
      </c>
      <c r="I45" s="110">
        <f t="shared" si="59"/>
        <v>0</v>
      </c>
      <c r="J45" s="110">
        <f t="shared" si="59"/>
        <v>0</v>
      </c>
      <c r="K45" s="110">
        <f t="shared" si="59"/>
        <v>0</v>
      </c>
      <c r="L45" s="110">
        <f t="shared" si="59"/>
        <v>0</v>
      </c>
      <c r="M45" s="110">
        <f t="shared" si="59"/>
        <v>0</v>
      </c>
      <c r="N45" s="110">
        <f t="shared" si="59"/>
        <v>0</v>
      </c>
      <c r="O45" s="110">
        <f t="shared" si="59"/>
        <v>0</v>
      </c>
      <c r="P45" s="109">
        <f t="shared" si="8"/>
        <v>0</v>
      </c>
      <c r="Q45" s="110">
        <f t="shared" ref="Q45:AB45" si="60">Q46-Q49</f>
        <v>0</v>
      </c>
      <c r="R45" s="110">
        <f t="shared" si="60"/>
        <v>0</v>
      </c>
      <c r="S45" s="110">
        <f t="shared" si="60"/>
        <v>0</v>
      </c>
      <c r="T45" s="110">
        <f t="shared" si="60"/>
        <v>0</v>
      </c>
      <c r="U45" s="110">
        <f t="shared" si="60"/>
        <v>0</v>
      </c>
      <c r="V45" s="110">
        <f t="shared" si="60"/>
        <v>0</v>
      </c>
      <c r="W45" s="110">
        <f t="shared" si="60"/>
        <v>0</v>
      </c>
      <c r="X45" s="110">
        <f t="shared" si="60"/>
        <v>0</v>
      </c>
      <c r="Y45" s="110">
        <f t="shared" si="60"/>
        <v>0</v>
      </c>
      <c r="Z45" s="110">
        <f t="shared" si="60"/>
        <v>0</v>
      </c>
      <c r="AA45" s="110">
        <f t="shared" si="60"/>
        <v>0</v>
      </c>
      <c r="AB45" s="110">
        <f t="shared" si="60"/>
        <v>0</v>
      </c>
      <c r="AC45" s="109">
        <f t="shared" si="5"/>
        <v>0</v>
      </c>
      <c r="AD45" s="110">
        <f t="shared" ref="AD45:AO45" si="61">AD46-AD49</f>
        <v>0</v>
      </c>
      <c r="AE45" s="110">
        <f t="shared" si="61"/>
        <v>0</v>
      </c>
      <c r="AF45" s="110">
        <f t="shared" si="61"/>
        <v>0</v>
      </c>
      <c r="AG45" s="110">
        <f t="shared" si="61"/>
        <v>0</v>
      </c>
      <c r="AH45" s="110">
        <f t="shared" si="61"/>
        <v>0</v>
      </c>
      <c r="AI45" s="110">
        <f t="shared" si="61"/>
        <v>0</v>
      </c>
      <c r="AJ45" s="110">
        <f t="shared" si="61"/>
        <v>0</v>
      </c>
      <c r="AK45" s="110">
        <f t="shared" si="61"/>
        <v>0</v>
      </c>
      <c r="AL45" s="110">
        <f t="shared" si="61"/>
        <v>0</v>
      </c>
      <c r="AM45" s="110">
        <f t="shared" si="61"/>
        <v>0</v>
      </c>
      <c r="AN45" s="110">
        <f t="shared" si="61"/>
        <v>0</v>
      </c>
      <c r="AO45" s="110">
        <f t="shared" si="61"/>
        <v>0</v>
      </c>
    </row>
    <row r="46" spans="1:41" ht="17.25" collapsed="1" x14ac:dyDescent="0.3">
      <c r="A46" s="94" t="s">
        <v>104</v>
      </c>
      <c r="B46" s="99"/>
      <c r="C46" s="96">
        <f t="shared" si="3"/>
        <v>0</v>
      </c>
      <c r="D46" s="100">
        <f t="shared" ref="D46:O46" si="62">D47+D48</f>
        <v>0</v>
      </c>
      <c r="E46" s="100">
        <f t="shared" si="62"/>
        <v>0</v>
      </c>
      <c r="F46" s="100">
        <f t="shared" si="62"/>
        <v>0</v>
      </c>
      <c r="G46" s="100">
        <f t="shared" si="62"/>
        <v>0</v>
      </c>
      <c r="H46" s="100">
        <f t="shared" si="62"/>
        <v>0</v>
      </c>
      <c r="I46" s="100">
        <f t="shared" si="62"/>
        <v>0</v>
      </c>
      <c r="J46" s="100">
        <f t="shared" si="62"/>
        <v>0</v>
      </c>
      <c r="K46" s="100">
        <f t="shared" si="62"/>
        <v>0</v>
      </c>
      <c r="L46" s="100">
        <f t="shared" si="62"/>
        <v>0</v>
      </c>
      <c r="M46" s="100">
        <f t="shared" si="62"/>
        <v>0</v>
      </c>
      <c r="N46" s="100">
        <f t="shared" si="62"/>
        <v>0</v>
      </c>
      <c r="O46" s="100">
        <f t="shared" si="62"/>
        <v>0</v>
      </c>
      <c r="P46" s="96">
        <f t="shared" si="8"/>
        <v>0</v>
      </c>
      <c r="Q46" s="100">
        <f t="shared" ref="Q46:AB46" si="63">Q47+Q48</f>
        <v>0</v>
      </c>
      <c r="R46" s="100">
        <f t="shared" si="63"/>
        <v>0</v>
      </c>
      <c r="S46" s="100">
        <f t="shared" si="63"/>
        <v>0</v>
      </c>
      <c r="T46" s="100">
        <f t="shared" si="63"/>
        <v>0</v>
      </c>
      <c r="U46" s="100">
        <f t="shared" si="63"/>
        <v>0</v>
      </c>
      <c r="V46" s="100">
        <f t="shared" si="63"/>
        <v>0</v>
      </c>
      <c r="W46" s="100">
        <f t="shared" si="63"/>
        <v>0</v>
      </c>
      <c r="X46" s="100">
        <f t="shared" si="63"/>
        <v>0</v>
      </c>
      <c r="Y46" s="100">
        <f t="shared" si="63"/>
        <v>0</v>
      </c>
      <c r="Z46" s="100">
        <f t="shared" si="63"/>
        <v>0</v>
      </c>
      <c r="AA46" s="100">
        <f t="shared" si="63"/>
        <v>0</v>
      </c>
      <c r="AB46" s="100">
        <f t="shared" si="63"/>
        <v>0</v>
      </c>
      <c r="AC46" s="96">
        <f t="shared" si="5"/>
        <v>0</v>
      </c>
      <c r="AD46" s="100">
        <f t="shared" ref="AD46:AO46" si="64">AD47+AD48</f>
        <v>0</v>
      </c>
      <c r="AE46" s="100">
        <f t="shared" si="64"/>
        <v>0</v>
      </c>
      <c r="AF46" s="100">
        <f t="shared" si="64"/>
        <v>0</v>
      </c>
      <c r="AG46" s="100">
        <f t="shared" si="64"/>
        <v>0</v>
      </c>
      <c r="AH46" s="100">
        <f t="shared" si="64"/>
        <v>0</v>
      </c>
      <c r="AI46" s="100">
        <f t="shared" si="64"/>
        <v>0</v>
      </c>
      <c r="AJ46" s="100">
        <f t="shared" si="64"/>
        <v>0</v>
      </c>
      <c r="AK46" s="100">
        <f t="shared" si="64"/>
        <v>0</v>
      </c>
      <c r="AL46" s="100">
        <f t="shared" si="64"/>
        <v>0</v>
      </c>
      <c r="AM46" s="100">
        <f t="shared" si="64"/>
        <v>0</v>
      </c>
      <c r="AN46" s="100">
        <f t="shared" si="64"/>
        <v>0</v>
      </c>
      <c r="AO46" s="100">
        <f t="shared" si="64"/>
        <v>0</v>
      </c>
    </row>
    <row r="47" spans="1:41" ht="17.25" hidden="1" outlineLevel="1" x14ac:dyDescent="0.3">
      <c r="A47" s="103" t="s">
        <v>134</v>
      </c>
      <c r="B47" s="99"/>
      <c r="C47" s="104">
        <f t="shared" si="3"/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4">
        <f t="shared" si="8"/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4">
        <f t="shared" si="5"/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</row>
    <row r="48" spans="1:41" ht="17.25" hidden="1" outlineLevel="1" x14ac:dyDescent="0.3">
      <c r="A48" s="103" t="s">
        <v>135</v>
      </c>
      <c r="B48" s="99"/>
      <c r="C48" s="104">
        <f t="shared" si="3"/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4">
        <f t="shared" si="8"/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4">
        <f t="shared" si="5"/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</row>
    <row r="49" spans="1:41" ht="17.25" collapsed="1" x14ac:dyDescent="0.3">
      <c r="A49" s="94" t="s">
        <v>105</v>
      </c>
      <c r="B49" s="99"/>
      <c r="C49" s="96">
        <f t="shared" si="3"/>
        <v>0</v>
      </c>
      <c r="D49" s="100">
        <f t="shared" ref="D49:O49" si="65">D50+D51</f>
        <v>0</v>
      </c>
      <c r="E49" s="100">
        <f t="shared" si="65"/>
        <v>0</v>
      </c>
      <c r="F49" s="100">
        <f t="shared" si="65"/>
        <v>0</v>
      </c>
      <c r="G49" s="100">
        <f t="shared" si="65"/>
        <v>0</v>
      </c>
      <c r="H49" s="100">
        <f t="shared" si="65"/>
        <v>0</v>
      </c>
      <c r="I49" s="100">
        <f t="shared" si="65"/>
        <v>0</v>
      </c>
      <c r="J49" s="100">
        <f t="shared" si="65"/>
        <v>0</v>
      </c>
      <c r="K49" s="100">
        <f t="shared" si="65"/>
        <v>0</v>
      </c>
      <c r="L49" s="100">
        <f t="shared" si="65"/>
        <v>0</v>
      </c>
      <c r="M49" s="100">
        <f t="shared" si="65"/>
        <v>0</v>
      </c>
      <c r="N49" s="100">
        <f t="shared" si="65"/>
        <v>0</v>
      </c>
      <c r="O49" s="100">
        <f t="shared" si="65"/>
        <v>0</v>
      </c>
      <c r="P49" s="96">
        <f t="shared" si="8"/>
        <v>0</v>
      </c>
      <c r="Q49" s="100">
        <f t="shared" ref="Q49:AB49" si="66">Q50+Q51</f>
        <v>0</v>
      </c>
      <c r="R49" s="100">
        <f t="shared" si="66"/>
        <v>0</v>
      </c>
      <c r="S49" s="100">
        <f t="shared" si="66"/>
        <v>0</v>
      </c>
      <c r="T49" s="100">
        <f t="shared" si="66"/>
        <v>0</v>
      </c>
      <c r="U49" s="100">
        <f t="shared" si="66"/>
        <v>0</v>
      </c>
      <c r="V49" s="100">
        <f t="shared" si="66"/>
        <v>0</v>
      </c>
      <c r="W49" s="100">
        <f t="shared" si="66"/>
        <v>0</v>
      </c>
      <c r="X49" s="100">
        <f t="shared" si="66"/>
        <v>0</v>
      </c>
      <c r="Y49" s="100">
        <f t="shared" si="66"/>
        <v>0</v>
      </c>
      <c r="Z49" s="100">
        <f t="shared" si="66"/>
        <v>0</v>
      </c>
      <c r="AA49" s="100">
        <f t="shared" si="66"/>
        <v>0</v>
      </c>
      <c r="AB49" s="100">
        <f t="shared" si="66"/>
        <v>0</v>
      </c>
      <c r="AC49" s="96">
        <f t="shared" si="5"/>
        <v>0</v>
      </c>
      <c r="AD49" s="100">
        <f t="shared" ref="AD49:AO49" si="67">AD50+AD51</f>
        <v>0</v>
      </c>
      <c r="AE49" s="100">
        <f t="shared" si="67"/>
        <v>0</v>
      </c>
      <c r="AF49" s="100">
        <f t="shared" si="67"/>
        <v>0</v>
      </c>
      <c r="AG49" s="100">
        <f t="shared" si="67"/>
        <v>0</v>
      </c>
      <c r="AH49" s="100">
        <f t="shared" si="67"/>
        <v>0</v>
      </c>
      <c r="AI49" s="100">
        <f t="shared" si="67"/>
        <v>0</v>
      </c>
      <c r="AJ49" s="100">
        <f t="shared" si="67"/>
        <v>0</v>
      </c>
      <c r="AK49" s="100">
        <f t="shared" si="67"/>
        <v>0</v>
      </c>
      <c r="AL49" s="100">
        <f t="shared" si="67"/>
        <v>0</v>
      </c>
      <c r="AM49" s="100">
        <f t="shared" si="67"/>
        <v>0</v>
      </c>
      <c r="AN49" s="100">
        <f t="shared" si="67"/>
        <v>0</v>
      </c>
      <c r="AO49" s="100">
        <f t="shared" si="67"/>
        <v>0</v>
      </c>
    </row>
    <row r="50" spans="1:41" ht="17.25" hidden="1" outlineLevel="1" x14ac:dyDescent="0.3">
      <c r="A50" s="103" t="s">
        <v>136</v>
      </c>
      <c r="B50" s="99"/>
      <c r="C50" s="104">
        <f t="shared" si="3"/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4">
        <f t="shared" si="8"/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4">
        <f t="shared" si="5"/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</row>
    <row r="51" spans="1:41" ht="17.25" hidden="1" outlineLevel="1" x14ac:dyDescent="0.3">
      <c r="A51" s="111" t="s">
        <v>137</v>
      </c>
      <c r="B51" s="99"/>
      <c r="C51" s="104">
        <f t="shared" si="3"/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4">
        <f t="shared" si="8"/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4">
        <f t="shared" si="5"/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</row>
    <row r="52" spans="1:41" ht="17.25" x14ac:dyDescent="0.3">
      <c r="A52" s="112" t="s">
        <v>138</v>
      </c>
      <c r="B52" s="113"/>
      <c r="C52" s="113">
        <f t="shared" ref="C52:AO52" si="68">C45+C37+C8</f>
        <v>194256016.57151994</v>
      </c>
      <c r="D52" s="113">
        <f t="shared" si="68"/>
        <v>0</v>
      </c>
      <c r="E52" s="113">
        <f t="shared" si="68"/>
        <v>0</v>
      </c>
      <c r="F52" s="113">
        <f t="shared" si="68"/>
        <v>0</v>
      </c>
      <c r="G52" s="113">
        <f t="shared" si="68"/>
        <v>6528000</v>
      </c>
      <c r="H52" s="113">
        <f t="shared" si="68"/>
        <v>37015682.013439991</v>
      </c>
      <c r="I52" s="113">
        <f t="shared" si="68"/>
        <v>23894029.347199999</v>
      </c>
      <c r="J52" s="113">
        <f t="shared" si="68"/>
        <v>43065541.086079985</v>
      </c>
      <c r="K52" s="113">
        <f t="shared" si="68"/>
        <v>1608296.955520004</v>
      </c>
      <c r="L52" s="113">
        <f t="shared" si="68"/>
        <v>-13577708.91392003</v>
      </c>
      <c r="M52" s="113">
        <f t="shared" si="68"/>
        <v>31761558.694399998</v>
      </c>
      <c r="N52" s="113">
        <f t="shared" si="68"/>
        <v>31980308.694399998</v>
      </c>
      <c r="O52" s="113">
        <f t="shared" si="68"/>
        <v>31980308.694399998</v>
      </c>
      <c r="P52" s="113">
        <f t="shared" si="68"/>
        <v>329711942.5382399</v>
      </c>
      <c r="Q52" s="113">
        <f t="shared" si="68"/>
        <v>-17816998.16960001</v>
      </c>
      <c r="R52" s="113">
        <f t="shared" si="68"/>
        <v>15565462.196480012</v>
      </c>
      <c r="S52" s="113">
        <f t="shared" si="68"/>
        <v>65770402.74559997</v>
      </c>
      <c r="T52" s="113">
        <f t="shared" si="68"/>
        <v>3546945.8815999627</v>
      </c>
      <c r="U52" s="113">
        <f t="shared" si="68"/>
        <v>8546945.8815999627</v>
      </c>
      <c r="V52" s="113">
        <f t="shared" si="68"/>
        <v>67658945.881599963</v>
      </c>
      <c r="W52" s="113">
        <f t="shared" si="68"/>
        <v>31162942.379519917</v>
      </c>
      <c r="X52" s="113">
        <f t="shared" si="68"/>
        <v>14427962.196480012</v>
      </c>
      <c r="Y52" s="113">
        <f t="shared" si="68"/>
        <v>5970902.7455999721</v>
      </c>
      <c r="Z52" s="113">
        <f t="shared" si="68"/>
        <v>39440863.111679956</v>
      </c>
      <c r="AA52" s="113">
        <f t="shared" si="68"/>
        <v>30983803.66079998</v>
      </c>
      <c r="AB52" s="113">
        <f t="shared" si="68"/>
        <v>64453764.026879981</v>
      </c>
      <c r="AC52" s="113">
        <f t="shared" si="68"/>
        <v>953155665.92639911</v>
      </c>
      <c r="AD52" s="113">
        <f t="shared" si="68"/>
        <v>101142635.29599993</v>
      </c>
      <c r="AE52" s="113">
        <f t="shared" si="68"/>
        <v>42705635.295999929</v>
      </c>
      <c r="AF52" s="113">
        <f t="shared" si="68"/>
        <v>16887246.119679976</v>
      </c>
      <c r="AG52" s="113">
        <f t="shared" si="68"/>
        <v>98433773.178880006</v>
      </c>
      <c r="AH52" s="113">
        <f t="shared" si="68"/>
        <v>30487689.414399948</v>
      </c>
      <c r="AI52" s="113">
        <f t="shared" si="68"/>
        <v>37287911.061760068</v>
      </c>
      <c r="AJ52" s="113">
        <f t="shared" si="68"/>
        <v>50888354.356480002</v>
      </c>
      <c r="AK52" s="113">
        <f t="shared" si="68"/>
        <v>106616492.23935995</v>
      </c>
      <c r="AL52" s="113">
        <f t="shared" si="68"/>
        <v>120216935.53407979</v>
      </c>
      <c r="AM52" s="113">
        <f t="shared" si="68"/>
        <v>117508073.41695991</v>
      </c>
      <c r="AN52" s="113">
        <f t="shared" si="68"/>
        <v>105290127.53535996</v>
      </c>
      <c r="AO52" s="113">
        <f t="shared" si="68"/>
        <v>125690792.47743975</v>
      </c>
    </row>
    <row r="53" spans="1:41" ht="17.25" x14ac:dyDescent="0.3">
      <c r="A53" s="112" t="s">
        <v>139</v>
      </c>
      <c r="B53" s="113"/>
      <c r="C53" s="113">
        <f t="shared" ref="C53:AC53" si="69">C7+C52</f>
        <v>194256016.57151994</v>
      </c>
      <c r="D53" s="113">
        <f t="shared" si="69"/>
        <v>0</v>
      </c>
      <c r="E53" s="113">
        <f t="shared" si="69"/>
        <v>0</v>
      </c>
      <c r="F53" s="113">
        <f t="shared" si="69"/>
        <v>0</v>
      </c>
      <c r="G53" s="113">
        <f t="shared" si="69"/>
        <v>6528000</v>
      </c>
      <c r="H53" s="113">
        <f t="shared" si="69"/>
        <v>43543682.013439991</v>
      </c>
      <c r="I53" s="113">
        <f t="shared" si="69"/>
        <v>67437711.360639989</v>
      </c>
      <c r="J53" s="113">
        <f t="shared" si="69"/>
        <v>110503252.44671997</v>
      </c>
      <c r="K53" s="113">
        <f t="shared" si="69"/>
        <v>112111549.40223998</v>
      </c>
      <c r="L53" s="113">
        <f t="shared" si="69"/>
        <v>98533840.488319948</v>
      </c>
      <c r="M53" s="113">
        <f t="shared" si="69"/>
        <v>130295399.18271995</v>
      </c>
      <c r="N53" s="113">
        <f t="shared" si="69"/>
        <v>162275707.87711996</v>
      </c>
      <c r="O53" s="113">
        <f t="shared" si="69"/>
        <v>194256016.57151997</v>
      </c>
      <c r="P53" s="113">
        <f t="shared" si="69"/>
        <v>523967959.10975981</v>
      </c>
      <c r="Q53" s="113">
        <f t="shared" si="69"/>
        <v>176439018.40191996</v>
      </c>
      <c r="R53" s="113">
        <f t="shared" si="69"/>
        <v>192004480.59839997</v>
      </c>
      <c r="S53" s="113">
        <f t="shared" si="69"/>
        <v>257774883.34399992</v>
      </c>
      <c r="T53" s="113">
        <f t="shared" si="69"/>
        <v>261321829.22559988</v>
      </c>
      <c r="U53" s="113">
        <f t="shared" si="69"/>
        <v>269868775.10719985</v>
      </c>
      <c r="V53" s="113">
        <f t="shared" si="69"/>
        <v>337527720.98879981</v>
      </c>
      <c r="W53" s="113">
        <f t="shared" si="69"/>
        <v>368690663.36831975</v>
      </c>
      <c r="X53" s="113">
        <f t="shared" si="69"/>
        <v>383118625.56479979</v>
      </c>
      <c r="Y53" s="113">
        <f t="shared" si="69"/>
        <v>389089528.31039977</v>
      </c>
      <c r="Z53" s="113">
        <f t="shared" si="69"/>
        <v>428530391.42207974</v>
      </c>
      <c r="AA53" s="113">
        <f t="shared" si="69"/>
        <v>459514195.08287972</v>
      </c>
      <c r="AB53" s="113">
        <f t="shared" si="69"/>
        <v>523967959.10975969</v>
      </c>
      <c r="AC53" s="113">
        <f t="shared" si="69"/>
        <v>1477123625.0361588</v>
      </c>
      <c r="AD53" s="113">
        <f>AD8+AD52</f>
        <v>224952878.43199986</v>
      </c>
      <c r="AE53" s="113">
        <f t="shared" ref="AE53:AO53" si="70">AE52+AE7</f>
        <v>267658513.72799981</v>
      </c>
      <c r="AF53" s="113">
        <f t="shared" si="70"/>
        <v>284545759.84767979</v>
      </c>
      <c r="AG53" s="113">
        <f t="shared" si="70"/>
        <v>382979533.02655983</v>
      </c>
      <c r="AH53" s="113">
        <f t="shared" si="70"/>
        <v>413467222.44095975</v>
      </c>
      <c r="AI53" s="113">
        <f t="shared" si="70"/>
        <v>450755133.50271982</v>
      </c>
      <c r="AJ53" s="113">
        <f t="shared" si="70"/>
        <v>501643487.85919982</v>
      </c>
      <c r="AK53" s="113">
        <f t="shared" si="70"/>
        <v>608259980.09855974</v>
      </c>
      <c r="AL53" s="113">
        <f t="shared" si="70"/>
        <v>728476915.63263953</v>
      </c>
      <c r="AM53" s="113">
        <f t="shared" si="70"/>
        <v>845984989.04959941</v>
      </c>
      <c r="AN53" s="113">
        <f t="shared" si="70"/>
        <v>951275116.58495939</v>
      </c>
      <c r="AO53" s="113">
        <f t="shared" si="70"/>
        <v>1076965909.0623991</v>
      </c>
    </row>
    <row r="54" spans="1:41" ht="17.25" x14ac:dyDescent="0.15">
      <c r="A54" s="19"/>
      <c r="B54" s="19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</row>
    <row r="55" spans="1:41" ht="17.25" x14ac:dyDescent="0.15">
      <c r="A55" s="19"/>
      <c r="B55" s="19"/>
      <c r="C55" s="11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15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ht="17.25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7.25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17.25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ht="17.25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ht="17.25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ht="17.25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ht="17.25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ht="17.25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ht="17.25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ht="17.25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ht="17.25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ht="17.25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ht="17.25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ht="17.25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ht="17.25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ht="17.25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ht="17.25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ht="17.25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ht="17.25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ht="17.25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ht="17.25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ht="17.25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ht="17.25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ht="17.25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ht="17.25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ht="17.25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ht="17.25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ht="17.25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1:41" ht="17.25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ht="17.25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1:41" ht="17.25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ht="17.25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ht="17.25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ht="17.25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ht="17.25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ht="17.25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ht="17.25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ht="17.25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ht="17.25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ht="17.25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ht="17.25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ht="17.25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ht="17.25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ht="17.25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ht="17.25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ht="17.25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ht="17.25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ht="17.25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ht="17.25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ht="17.25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ht="17.25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ht="17.25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ht="17.25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ht="17.25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ht="17.25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ht="17.25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ht="17.25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ht="17.25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ht="17.25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ht="17.25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ht="17.25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ht="17.25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ht="17.25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ht="17.25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ht="17.25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ht="17.25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ht="17.25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ht="17.25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ht="17.25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ht="17.25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ht="17.25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1:41" ht="17.25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ht="17.25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ht="17.25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ht="17.25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ht="17.25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ht="17.25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ht="17.25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ht="17.25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ht="17.25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ht="17.25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ht="17.25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ht="17.25" x14ac:dyDescent="0.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ht="17.25" x14ac:dyDescent="0.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1:41" ht="17.25" x14ac:dyDescent="0.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ht="17.25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ht="17.25" x14ac:dyDescent="0.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1:41" ht="17.25" x14ac:dyDescent="0.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1:41" ht="17.25" x14ac:dyDescent="0.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ht="17.25" x14ac:dyDescent="0.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1:41" ht="17.25" x14ac:dyDescent="0.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ht="17.25" x14ac:dyDescent="0.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</row>
    <row r="148" spans="1:41" ht="17.25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</row>
    <row r="149" spans="1:41" ht="17.25" x14ac:dyDescent="0.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1:41" ht="17.25" x14ac:dyDescent="0.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1:41" ht="17.25" x14ac:dyDescent="0.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</row>
    <row r="152" spans="1:41" ht="17.25" x14ac:dyDescent="0.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</row>
    <row r="153" spans="1:41" ht="17.25" x14ac:dyDescent="0.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</row>
    <row r="154" spans="1:41" ht="17.25" x14ac:dyDescent="0.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</row>
    <row r="155" spans="1:41" ht="17.25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ht="17.25" x14ac:dyDescent="0.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1:41" ht="17.25" x14ac:dyDescent="0.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</row>
    <row r="158" spans="1:41" ht="17.25" x14ac:dyDescent="0.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1:41" ht="17.25" x14ac:dyDescent="0.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1:41" ht="17.25" x14ac:dyDescent="0.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</row>
    <row r="161" spans="1:41" ht="17.25" x14ac:dyDescent="0.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</row>
    <row r="162" spans="1:41" ht="17.25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1:41" ht="17.25" x14ac:dyDescent="0.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1:41" ht="17.25" x14ac:dyDescent="0.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</row>
    <row r="165" spans="1:41" ht="17.25" x14ac:dyDescent="0.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</row>
    <row r="166" spans="1:41" ht="17.25" x14ac:dyDescent="0.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</row>
    <row r="167" spans="1:41" ht="17.25" x14ac:dyDescent="0.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1:41" ht="17.25" x14ac:dyDescent="0.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</row>
    <row r="169" spans="1:41" ht="17.25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</row>
    <row r="170" spans="1:41" ht="17.25" x14ac:dyDescent="0.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</row>
    <row r="171" spans="1:41" ht="17.25" x14ac:dyDescent="0.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1:41" ht="17.25" x14ac:dyDescent="0.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41" ht="17.25" x14ac:dyDescent="0.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1:41" ht="17.25" x14ac:dyDescent="0.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ht="17.25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ht="17.25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41" ht="17.25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1:41" ht="17.25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1:41" ht="17.25" x14ac:dyDescent="0.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1:41" ht="17.25" x14ac:dyDescent="0.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</row>
    <row r="181" spans="1:41" ht="17.25" x14ac:dyDescent="0.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1:41" ht="17.25" x14ac:dyDescent="0.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1:41" ht="17.25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</row>
    <row r="184" spans="1:41" ht="17.25" x14ac:dyDescent="0.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</row>
    <row r="185" spans="1:41" ht="17.25" x14ac:dyDescent="0.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</row>
    <row r="186" spans="1:41" ht="17.25" x14ac:dyDescent="0.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1:41" ht="17.25" x14ac:dyDescent="0.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</row>
    <row r="188" spans="1:41" ht="17.25" x14ac:dyDescent="0.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1:41" ht="17.25" x14ac:dyDescent="0.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1:41" ht="17.25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</row>
    <row r="191" spans="1:41" ht="17.25" x14ac:dyDescent="0.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</row>
    <row r="192" spans="1:41" ht="17.25" x14ac:dyDescent="0.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</row>
    <row r="193" spans="1:41" ht="17.25" x14ac:dyDescent="0.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</row>
    <row r="194" spans="1:41" ht="17.25" x14ac:dyDescent="0.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ht="17.25" x14ac:dyDescent="0.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</row>
    <row r="196" spans="1:41" ht="17.25" x14ac:dyDescent="0.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</row>
    <row r="197" spans="1:41" ht="17.25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</row>
    <row r="198" spans="1:41" ht="17.25" x14ac:dyDescent="0.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</row>
    <row r="199" spans="1:41" ht="17.25" x14ac:dyDescent="0.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</row>
    <row r="200" spans="1:41" ht="17.25" x14ac:dyDescent="0.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1:41" ht="17.25" x14ac:dyDescent="0.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1:41" ht="17.25" x14ac:dyDescent="0.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ht="17.25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1:41" ht="17.25" x14ac:dyDescent="0.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</row>
    <row r="205" spans="1:41" ht="17.25" x14ac:dyDescent="0.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1:41" ht="17.25" x14ac:dyDescent="0.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ht="17.25" x14ac:dyDescent="0.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</row>
    <row r="208" spans="1:41" ht="17.25" x14ac:dyDescent="0.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1:41" ht="17.25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</row>
    <row r="210" spans="1:41" ht="17.25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</row>
    <row r="211" spans="1:41" ht="17.25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</row>
    <row r="212" spans="1:41" ht="17.25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1:41" ht="17.25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</row>
    <row r="214" spans="1:41" ht="17.25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ht="17.25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</row>
    <row r="216" spans="1:41" ht="17.25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1:41" ht="17.25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</row>
    <row r="218" spans="1:41" ht="17.25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1:41" ht="17.25" x14ac:dyDescent="0.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</row>
    <row r="220" spans="1:41" ht="17.25" x14ac:dyDescent="0.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</row>
    <row r="221" spans="1:41" ht="17.25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1:41" ht="17.25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</row>
    <row r="223" spans="1:41" ht="17.25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</row>
    <row r="224" spans="1:41" ht="17.25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1:41" ht="17.25" x14ac:dyDescent="0.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1:41" ht="17.25" x14ac:dyDescent="0.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1:41" ht="17.25" x14ac:dyDescent="0.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1:41" ht="17.25" x14ac:dyDescent="0.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</row>
    <row r="229" spans="1:41" ht="17.25" x14ac:dyDescent="0.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1:41" ht="17.25" x14ac:dyDescent="0.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1:41" ht="17.25" x14ac:dyDescent="0.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1:41" ht="17.25" x14ac:dyDescent="0.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1:41" ht="17.25" x14ac:dyDescent="0.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1:41" ht="17.25" x14ac:dyDescent="0.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</row>
    <row r="235" spans="1:41" ht="17.25" x14ac:dyDescent="0.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</row>
    <row r="236" spans="1:41" ht="17.25" x14ac:dyDescent="0.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</row>
    <row r="237" spans="1:41" ht="17.25" x14ac:dyDescent="0.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</row>
    <row r="238" spans="1:41" ht="17.25" x14ac:dyDescent="0.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</row>
    <row r="239" spans="1:41" ht="17.25" x14ac:dyDescent="0.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</row>
    <row r="240" spans="1:41" ht="17.25" x14ac:dyDescent="0.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</row>
    <row r="241" spans="1:41" ht="17.25" x14ac:dyDescent="0.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</row>
    <row r="242" spans="1:41" ht="17.25" x14ac:dyDescent="0.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1:41" ht="17.25" x14ac:dyDescent="0.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</row>
    <row r="244" spans="1:41" ht="17.25" x14ac:dyDescent="0.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1:41" ht="17.25" x14ac:dyDescent="0.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</row>
    <row r="246" spans="1:41" ht="17.25" x14ac:dyDescent="0.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</row>
    <row r="247" spans="1:41" ht="17.25" x14ac:dyDescent="0.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</row>
    <row r="248" spans="1:41" ht="17.25" x14ac:dyDescent="0.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1:41" ht="17.25" x14ac:dyDescent="0.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</row>
    <row r="250" spans="1:41" ht="17.25" x14ac:dyDescent="0.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</row>
    <row r="251" spans="1:41" ht="17.25" x14ac:dyDescent="0.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</row>
    <row r="252" spans="1:41" ht="17.25" x14ac:dyDescent="0.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</row>
    <row r="253" spans="1:41" ht="17.25" x14ac:dyDescent="0.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</row>
    <row r="254" spans="1:41" ht="17.25" x14ac:dyDescent="0.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</row>
    <row r="255" spans="1:41" ht="17.25" x14ac:dyDescent="0.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</row>
    <row r="256" spans="1:41" ht="17.25" x14ac:dyDescent="0.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1:41" ht="17.25" x14ac:dyDescent="0.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</row>
    <row r="258" spans="1:41" ht="17.25" x14ac:dyDescent="0.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</row>
    <row r="259" spans="1:41" ht="17.25" x14ac:dyDescent="0.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1:41" ht="17.25" x14ac:dyDescent="0.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</row>
    <row r="261" spans="1:41" ht="17.25" x14ac:dyDescent="0.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</row>
    <row r="262" spans="1:41" ht="17.25" x14ac:dyDescent="0.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</row>
    <row r="263" spans="1:41" ht="17.25" x14ac:dyDescent="0.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</row>
    <row r="264" spans="1:41" ht="17.25" x14ac:dyDescent="0.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1:41" ht="17.25" x14ac:dyDescent="0.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</row>
    <row r="266" spans="1:41" ht="17.25" x14ac:dyDescent="0.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1:41" ht="17.25" x14ac:dyDescent="0.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</row>
    <row r="268" spans="1:41" ht="17.25" x14ac:dyDescent="0.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1:41" ht="17.25" x14ac:dyDescent="0.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</row>
    <row r="270" spans="1:41" ht="17.25" x14ac:dyDescent="0.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</row>
    <row r="271" spans="1:41" ht="17.25" x14ac:dyDescent="0.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</row>
    <row r="272" spans="1:41" ht="17.25" x14ac:dyDescent="0.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</row>
    <row r="273" spans="1:41" ht="17.25" x14ac:dyDescent="0.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</row>
    <row r="274" spans="1:41" ht="17.25" x14ac:dyDescent="0.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</row>
    <row r="275" spans="1:41" ht="17.25" x14ac:dyDescent="0.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1:41" ht="17.25" x14ac:dyDescent="0.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1:41" ht="17.25" x14ac:dyDescent="0.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</row>
    <row r="278" spans="1:41" ht="17.25" x14ac:dyDescent="0.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</row>
    <row r="279" spans="1:41" ht="17.25" x14ac:dyDescent="0.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</row>
    <row r="280" spans="1:41" ht="17.25" x14ac:dyDescent="0.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</row>
    <row r="281" spans="1:41" ht="17.25" x14ac:dyDescent="0.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1:41" ht="17.25" x14ac:dyDescent="0.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</row>
    <row r="283" spans="1:41" ht="17.25" x14ac:dyDescent="0.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</row>
    <row r="284" spans="1:41" ht="17.25" x14ac:dyDescent="0.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</row>
    <row r="285" spans="1:41" ht="17.25" x14ac:dyDescent="0.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</row>
    <row r="286" spans="1:41" ht="17.25" x14ac:dyDescent="0.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</row>
    <row r="287" spans="1:41" ht="17.25" x14ac:dyDescent="0.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1:41" ht="17.25" x14ac:dyDescent="0.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</row>
    <row r="289" spans="1:41" ht="17.25" x14ac:dyDescent="0.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</row>
    <row r="290" spans="1:41" ht="17.25" x14ac:dyDescent="0.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</row>
    <row r="291" spans="1:41" ht="17.25" x14ac:dyDescent="0.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</row>
    <row r="292" spans="1:41" ht="17.25" x14ac:dyDescent="0.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</row>
    <row r="293" spans="1:41" ht="17.25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1:41" ht="17.25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</row>
    <row r="295" spans="1:41" ht="17.25" x14ac:dyDescent="0.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</row>
    <row r="296" spans="1:41" ht="17.25" x14ac:dyDescent="0.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</row>
    <row r="297" spans="1:41" ht="17.25" x14ac:dyDescent="0.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</row>
    <row r="298" spans="1:41" ht="17.25" x14ac:dyDescent="0.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  <row r="299" spans="1:41" ht="17.25" x14ac:dyDescent="0.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</row>
    <row r="300" spans="1:41" ht="17.25" x14ac:dyDescent="0.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</row>
    <row r="301" spans="1:41" ht="17.25" x14ac:dyDescent="0.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</row>
    <row r="302" spans="1:41" ht="17.25" x14ac:dyDescent="0.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</row>
    <row r="303" spans="1:41" ht="17.25" x14ac:dyDescent="0.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</row>
    <row r="304" spans="1:41" ht="17.25" x14ac:dyDescent="0.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</row>
    <row r="305" spans="1:41" ht="17.25" x14ac:dyDescent="0.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</row>
    <row r="306" spans="1:41" ht="17.25" x14ac:dyDescent="0.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</row>
    <row r="307" spans="1:41" ht="17.25" x14ac:dyDescent="0.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</row>
    <row r="308" spans="1:41" ht="17.25" x14ac:dyDescent="0.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</row>
    <row r="309" spans="1:41" ht="17.25" x14ac:dyDescent="0.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</row>
    <row r="310" spans="1:41" ht="17.25" x14ac:dyDescent="0.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</row>
    <row r="311" spans="1:41" ht="17.25" x14ac:dyDescent="0.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</row>
    <row r="312" spans="1:41" ht="17.25" x14ac:dyDescent="0.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</row>
    <row r="313" spans="1:41" ht="17.25" x14ac:dyDescent="0.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</row>
    <row r="314" spans="1:41" ht="17.25" x14ac:dyDescent="0.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</row>
    <row r="315" spans="1:41" ht="17.25" x14ac:dyDescent="0.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</row>
    <row r="316" spans="1:41" ht="17.25" x14ac:dyDescent="0.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</row>
    <row r="317" spans="1:41" ht="17.25" x14ac:dyDescent="0.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</row>
    <row r="318" spans="1:41" ht="17.25" x14ac:dyDescent="0.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</row>
    <row r="319" spans="1:41" ht="17.25" x14ac:dyDescent="0.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</row>
    <row r="320" spans="1:41" ht="17.25" x14ac:dyDescent="0.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</row>
    <row r="321" spans="1:41" ht="17.25" x14ac:dyDescent="0.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</row>
    <row r="322" spans="1:41" ht="17.25" x14ac:dyDescent="0.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</row>
    <row r="323" spans="1:41" ht="17.25" x14ac:dyDescent="0.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</row>
    <row r="324" spans="1:41" ht="17.25" x14ac:dyDescent="0.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</row>
    <row r="325" spans="1:41" ht="17.25" x14ac:dyDescent="0.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</row>
    <row r="326" spans="1:41" ht="17.25" x14ac:dyDescent="0.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</row>
    <row r="327" spans="1:41" ht="17.25" x14ac:dyDescent="0.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</row>
    <row r="328" spans="1:41" ht="17.25" x14ac:dyDescent="0.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</row>
    <row r="329" spans="1:41" ht="17.25" x14ac:dyDescent="0.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</row>
    <row r="330" spans="1:41" ht="17.25" x14ac:dyDescent="0.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</row>
    <row r="331" spans="1:41" ht="17.25" x14ac:dyDescent="0.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</row>
    <row r="332" spans="1:41" ht="17.25" x14ac:dyDescent="0.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</row>
    <row r="333" spans="1:41" ht="17.25" x14ac:dyDescent="0.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</row>
    <row r="334" spans="1:41" ht="17.25" x14ac:dyDescent="0.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</row>
    <row r="335" spans="1:41" ht="17.25" x14ac:dyDescent="0.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</row>
    <row r="336" spans="1:41" ht="17.25" x14ac:dyDescent="0.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</row>
    <row r="337" spans="1:41" ht="17.25" x14ac:dyDescent="0.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</row>
    <row r="338" spans="1:41" ht="17.25" x14ac:dyDescent="0.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</row>
    <row r="339" spans="1:41" ht="17.25" x14ac:dyDescent="0.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</row>
    <row r="340" spans="1:41" ht="17.25" x14ac:dyDescent="0.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</row>
    <row r="341" spans="1:41" ht="17.25" x14ac:dyDescent="0.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</row>
    <row r="342" spans="1:41" ht="17.25" x14ac:dyDescent="0.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</row>
    <row r="343" spans="1:41" ht="17.25" x14ac:dyDescent="0.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</row>
    <row r="344" spans="1:41" ht="17.25" x14ac:dyDescent="0.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</row>
    <row r="345" spans="1:41" ht="17.25" x14ac:dyDescent="0.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</row>
    <row r="346" spans="1:41" ht="17.25" x14ac:dyDescent="0.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</row>
    <row r="347" spans="1:41" ht="17.25" x14ac:dyDescent="0.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</row>
    <row r="348" spans="1:41" ht="17.25" x14ac:dyDescent="0.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</row>
    <row r="349" spans="1:41" ht="17.25" x14ac:dyDescent="0.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</row>
    <row r="350" spans="1:41" ht="17.25" x14ac:dyDescent="0.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</row>
    <row r="351" spans="1:41" ht="17.25" x14ac:dyDescent="0.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</row>
    <row r="352" spans="1:41" ht="17.25" x14ac:dyDescent="0.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</row>
    <row r="353" spans="1:41" ht="17.25" x14ac:dyDescent="0.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</row>
    <row r="354" spans="1:41" ht="17.25" x14ac:dyDescent="0.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</row>
    <row r="355" spans="1:41" ht="17.25" x14ac:dyDescent="0.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</row>
    <row r="356" spans="1:41" ht="17.25" x14ac:dyDescent="0.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</row>
    <row r="357" spans="1:41" ht="17.25" x14ac:dyDescent="0.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</row>
    <row r="358" spans="1:41" ht="17.25" x14ac:dyDescent="0.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</row>
    <row r="359" spans="1:41" ht="17.25" x14ac:dyDescent="0.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</row>
    <row r="360" spans="1:41" ht="17.25" x14ac:dyDescent="0.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</row>
    <row r="361" spans="1:41" ht="17.25" x14ac:dyDescent="0.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</row>
    <row r="362" spans="1:41" ht="17.25" x14ac:dyDescent="0.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</row>
    <row r="363" spans="1:41" ht="17.25" x14ac:dyDescent="0.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</row>
    <row r="364" spans="1:41" ht="17.25" x14ac:dyDescent="0.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</row>
    <row r="365" spans="1:41" ht="17.25" x14ac:dyDescent="0.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</row>
    <row r="366" spans="1:41" ht="17.25" x14ac:dyDescent="0.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</row>
    <row r="367" spans="1:41" ht="17.25" x14ac:dyDescent="0.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</row>
    <row r="368" spans="1:41" ht="17.25" x14ac:dyDescent="0.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</row>
    <row r="369" spans="1:41" ht="17.25" x14ac:dyDescent="0.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</row>
    <row r="370" spans="1:41" ht="17.25" x14ac:dyDescent="0.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</row>
    <row r="371" spans="1:41" ht="17.25" x14ac:dyDescent="0.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</row>
    <row r="372" spans="1:41" ht="17.25" x14ac:dyDescent="0.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</row>
    <row r="373" spans="1:41" ht="17.25" x14ac:dyDescent="0.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</row>
    <row r="374" spans="1:41" ht="17.25" x14ac:dyDescent="0.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</row>
    <row r="375" spans="1:41" ht="17.25" x14ac:dyDescent="0.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</row>
    <row r="376" spans="1:41" ht="17.25" x14ac:dyDescent="0.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</row>
    <row r="377" spans="1:41" ht="17.25" x14ac:dyDescent="0.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</row>
    <row r="378" spans="1:41" ht="17.25" x14ac:dyDescent="0.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</row>
    <row r="379" spans="1:41" ht="17.25" x14ac:dyDescent="0.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</row>
    <row r="380" spans="1:41" ht="17.25" x14ac:dyDescent="0.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</row>
    <row r="381" spans="1:41" ht="17.25" x14ac:dyDescent="0.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</row>
    <row r="382" spans="1:41" ht="17.25" x14ac:dyDescent="0.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</row>
    <row r="383" spans="1:41" ht="17.25" x14ac:dyDescent="0.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</row>
    <row r="384" spans="1:41" ht="17.25" x14ac:dyDescent="0.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</row>
    <row r="385" spans="1:41" ht="17.25" x14ac:dyDescent="0.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</row>
    <row r="386" spans="1:41" ht="17.25" x14ac:dyDescent="0.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</row>
    <row r="387" spans="1:41" ht="17.25" x14ac:dyDescent="0.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</row>
    <row r="388" spans="1:41" ht="17.25" x14ac:dyDescent="0.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</row>
    <row r="389" spans="1:41" ht="17.25" x14ac:dyDescent="0.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</row>
    <row r="390" spans="1:41" ht="17.25" x14ac:dyDescent="0.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</row>
    <row r="391" spans="1:41" ht="17.25" x14ac:dyDescent="0.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</row>
    <row r="392" spans="1:41" ht="17.25" x14ac:dyDescent="0.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</row>
    <row r="393" spans="1:41" ht="17.25" x14ac:dyDescent="0.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</row>
    <row r="394" spans="1:41" ht="17.25" x14ac:dyDescent="0.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</row>
    <row r="395" spans="1:41" ht="17.25" x14ac:dyDescent="0.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</row>
    <row r="396" spans="1:41" ht="17.25" x14ac:dyDescent="0.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</row>
    <row r="397" spans="1:41" ht="17.25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</row>
    <row r="398" spans="1:41" ht="17.25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</row>
    <row r="399" spans="1:41" ht="17.25" x14ac:dyDescent="0.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</row>
    <row r="400" spans="1:41" ht="17.25" x14ac:dyDescent="0.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</row>
    <row r="401" spans="1:41" ht="17.25" x14ac:dyDescent="0.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</row>
    <row r="402" spans="1:41" ht="17.25" x14ac:dyDescent="0.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</row>
    <row r="403" spans="1:41" ht="17.25" x14ac:dyDescent="0.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</row>
    <row r="404" spans="1:41" ht="17.25" x14ac:dyDescent="0.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</row>
    <row r="405" spans="1:41" ht="17.25" x14ac:dyDescent="0.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</row>
    <row r="406" spans="1:41" ht="17.25" x14ac:dyDescent="0.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</row>
    <row r="407" spans="1:41" ht="17.25" x14ac:dyDescent="0.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</row>
    <row r="408" spans="1:41" ht="17.25" x14ac:dyDescent="0.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</row>
    <row r="409" spans="1:41" ht="17.25" x14ac:dyDescent="0.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</row>
    <row r="410" spans="1:41" ht="17.25" x14ac:dyDescent="0.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</row>
    <row r="411" spans="1:41" ht="17.25" x14ac:dyDescent="0.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</row>
    <row r="412" spans="1:41" ht="17.25" x14ac:dyDescent="0.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</row>
    <row r="413" spans="1:41" ht="17.25" x14ac:dyDescent="0.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</row>
    <row r="414" spans="1:41" ht="17.25" x14ac:dyDescent="0.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</row>
    <row r="415" spans="1:41" ht="17.25" x14ac:dyDescent="0.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</row>
    <row r="416" spans="1:41" ht="17.25" x14ac:dyDescent="0.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</row>
    <row r="417" spans="1:41" ht="17.25" x14ac:dyDescent="0.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</row>
    <row r="418" spans="1:41" ht="17.25" x14ac:dyDescent="0.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</row>
    <row r="419" spans="1:41" ht="17.25" x14ac:dyDescent="0.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</row>
    <row r="420" spans="1:41" ht="17.25" x14ac:dyDescent="0.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</row>
    <row r="421" spans="1:41" ht="17.25" x14ac:dyDescent="0.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</row>
    <row r="422" spans="1:41" ht="17.25" x14ac:dyDescent="0.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</row>
    <row r="423" spans="1:41" ht="17.25" x14ac:dyDescent="0.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</row>
    <row r="424" spans="1:41" ht="17.25" x14ac:dyDescent="0.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</row>
    <row r="425" spans="1:41" ht="17.25" x14ac:dyDescent="0.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</row>
    <row r="426" spans="1:41" ht="17.25" x14ac:dyDescent="0.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</row>
    <row r="427" spans="1:41" ht="17.25" x14ac:dyDescent="0.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</row>
    <row r="428" spans="1:41" ht="17.25" x14ac:dyDescent="0.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</row>
    <row r="429" spans="1:41" ht="17.25" x14ac:dyDescent="0.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</row>
    <row r="430" spans="1:41" ht="17.25" x14ac:dyDescent="0.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</row>
    <row r="431" spans="1:41" ht="17.25" x14ac:dyDescent="0.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</row>
    <row r="432" spans="1:41" ht="17.25" x14ac:dyDescent="0.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</row>
    <row r="433" spans="1:41" ht="17.25" x14ac:dyDescent="0.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</row>
    <row r="434" spans="1:41" ht="17.25" x14ac:dyDescent="0.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</row>
    <row r="435" spans="1:41" ht="17.25" x14ac:dyDescent="0.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</row>
    <row r="436" spans="1:41" ht="17.25" x14ac:dyDescent="0.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</row>
    <row r="437" spans="1:41" ht="17.25" x14ac:dyDescent="0.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</row>
    <row r="438" spans="1:41" ht="17.25" x14ac:dyDescent="0.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</row>
    <row r="439" spans="1:41" ht="17.25" x14ac:dyDescent="0.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</row>
    <row r="440" spans="1:41" ht="17.25" x14ac:dyDescent="0.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</row>
    <row r="441" spans="1:41" ht="17.25" x14ac:dyDescent="0.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</row>
    <row r="442" spans="1:41" ht="17.25" x14ac:dyDescent="0.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</row>
    <row r="443" spans="1:41" ht="17.25" x14ac:dyDescent="0.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</row>
    <row r="444" spans="1:41" ht="17.25" x14ac:dyDescent="0.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</row>
    <row r="445" spans="1:41" ht="17.25" x14ac:dyDescent="0.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</row>
    <row r="446" spans="1:41" ht="17.25" x14ac:dyDescent="0.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</row>
    <row r="447" spans="1:41" ht="17.25" x14ac:dyDescent="0.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</row>
    <row r="448" spans="1:41" ht="17.25" x14ac:dyDescent="0.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</row>
    <row r="449" spans="1:41" ht="17.25" x14ac:dyDescent="0.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</row>
    <row r="450" spans="1:41" ht="17.25" x14ac:dyDescent="0.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</row>
    <row r="451" spans="1:41" ht="17.25" x14ac:dyDescent="0.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</row>
    <row r="452" spans="1:41" ht="17.25" x14ac:dyDescent="0.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</row>
    <row r="453" spans="1:41" ht="17.25" x14ac:dyDescent="0.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</row>
    <row r="454" spans="1:41" ht="17.25" x14ac:dyDescent="0.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</row>
    <row r="455" spans="1:41" ht="17.25" x14ac:dyDescent="0.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</row>
    <row r="456" spans="1:41" ht="17.25" x14ac:dyDescent="0.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</row>
    <row r="457" spans="1:41" ht="17.25" x14ac:dyDescent="0.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</row>
    <row r="458" spans="1:41" ht="17.25" x14ac:dyDescent="0.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</row>
    <row r="459" spans="1:41" ht="17.25" x14ac:dyDescent="0.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</row>
    <row r="460" spans="1:41" ht="17.25" x14ac:dyDescent="0.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</row>
    <row r="461" spans="1:41" ht="17.25" x14ac:dyDescent="0.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</row>
    <row r="462" spans="1:41" ht="17.25" x14ac:dyDescent="0.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</row>
    <row r="463" spans="1:41" ht="17.25" x14ac:dyDescent="0.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</row>
    <row r="464" spans="1:41" ht="17.25" x14ac:dyDescent="0.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</row>
    <row r="465" spans="1:41" ht="17.25" x14ac:dyDescent="0.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</row>
    <row r="466" spans="1:41" ht="17.25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</row>
    <row r="467" spans="1:41" ht="17.25" x14ac:dyDescent="0.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</row>
    <row r="468" spans="1:41" ht="17.25" x14ac:dyDescent="0.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</row>
    <row r="469" spans="1:41" ht="17.25" x14ac:dyDescent="0.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</row>
    <row r="470" spans="1:41" ht="17.25" x14ac:dyDescent="0.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</row>
    <row r="471" spans="1:41" ht="17.25" x14ac:dyDescent="0.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</row>
    <row r="472" spans="1:41" ht="17.25" x14ac:dyDescent="0.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</row>
    <row r="473" spans="1:41" ht="17.25" x14ac:dyDescent="0.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</row>
    <row r="474" spans="1:41" ht="17.25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</row>
    <row r="475" spans="1:41" ht="17.25" x14ac:dyDescent="0.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</row>
    <row r="476" spans="1:41" ht="17.25" x14ac:dyDescent="0.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</row>
    <row r="477" spans="1:41" ht="17.25" x14ac:dyDescent="0.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</row>
    <row r="478" spans="1:41" ht="17.25" x14ac:dyDescent="0.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</row>
    <row r="479" spans="1:41" ht="17.25" x14ac:dyDescent="0.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</row>
    <row r="480" spans="1:41" ht="17.25" x14ac:dyDescent="0.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</row>
    <row r="481" spans="1:41" ht="17.25" x14ac:dyDescent="0.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</row>
    <row r="482" spans="1:41" ht="17.25" x14ac:dyDescent="0.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</row>
    <row r="483" spans="1:41" ht="17.25" x14ac:dyDescent="0.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</row>
    <row r="484" spans="1:41" ht="17.25" x14ac:dyDescent="0.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</row>
    <row r="485" spans="1:41" ht="17.25" x14ac:dyDescent="0.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</row>
    <row r="486" spans="1:41" ht="17.25" x14ac:dyDescent="0.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</row>
    <row r="487" spans="1:41" ht="17.25" x14ac:dyDescent="0.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</row>
    <row r="488" spans="1:41" ht="17.25" x14ac:dyDescent="0.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</row>
    <row r="489" spans="1:41" ht="17.25" x14ac:dyDescent="0.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</row>
    <row r="490" spans="1:41" ht="17.25" x14ac:dyDescent="0.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</row>
    <row r="491" spans="1:41" ht="17.25" x14ac:dyDescent="0.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</row>
    <row r="492" spans="1:41" ht="17.25" x14ac:dyDescent="0.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</row>
    <row r="493" spans="1:41" ht="17.25" x14ac:dyDescent="0.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</row>
    <row r="494" spans="1:41" ht="17.25" x14ac:dyDescent="0.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</row>
    <row r="495" spans="1:41" ht="17.25" x14ac:dyDescent="0.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</row>
    <row r="496" spans="1:41" ht="17.25" x14ac:dyDescent="0.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</row>
    <row r="497" spans="1:41" ht="17.25" x14ac:dyDescent="0.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</row>
    <row r="498" spans="1:41" ht="17.25" x14ac:dyDescent="0.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</row>
    <row r="499" spans="1:41" ht="17.25" x14ac:dyDescent="0.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</row>
    <row r="500" spans="1:41" ht="17.25" x14ac:dyDescent="0.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</row>
    <row r="501" spans="1:41" ht="17.25" x14ac:dyDescent="0.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</row>
    <row r="502" spans="1:41" ht="17.25" x14ac:dyDescent="0.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</row>
    <row r="503" spans="1:41" ht="17.25" x14ac:dyDescent="0.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</row>
    <row r="504" spans="1:41" ht="17.25" x14ac:dyDescent="0.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</row>
    <row r="505" spans="1:41" ht="17.25" x14ac:dyDescent="0.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</row>
    <row r="506" spans="1:41" ht="17.25" x14ac:dyDescent="0.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</row>
    <row r="507" spans="1:41" ht="17.25" x14ac:dyDescent="0.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</row>
    <row r="508" spans="1:41" ht="17.25" x14ac:dyDescent="0.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</row>
    <row r="509" spans="1:41" ht="17.25" x14ac:dyDescent="0.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</row>
    <row r="510" spans="1:41" ht="17.25" x14ac:dyDescent="0.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</row>
    <row r="511" spans="1:41" ht="17.25" x14ac:dyDescent="0.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</row>
    <row r="512" spans="1:41" ht="17.25" x14ac:dyDescent="0.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</row>
    <row r="513" spans="1:41" ht="17.25" x14ac:dyDescent="0.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</row>
    <row r="514" spans="1:41" ht="17.25" x14ac:dyDescent="0.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</row>
    <row r="515" spans="1:41" ht="17.25" x14ac:dyDescent="0.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</row>
    <row r="516" spans="1:41" ht="17.25" x14ac:dyDescent="0.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</row>
    <row r="517" spans="1:41" ht="17.25" x14ac:dyDescent="0.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</row>
    <row r="518" spans="1:41" ht="17.25" x14ac:dyDescent="0.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</row>
    <row r="519" spans="1:41" ht="17.25" x14ac:dyDescent="0.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</row>
    <row r="520" spans="1:41" ht="17.25" x14ac:dyDescent="0.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</row>
    <row r="521" spans="1:41" ht="17.25" x14ac:dyDescent="0.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</row>
    <row r="522" spans="1:41" ht="17.25" x14ac:dyDescent="0.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</row>
    <row r="523" spans="1:41" ht="17.25" x14ac:dyDescent="0.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</row>
    <row r="524" spans="1:41" ht="17.25" x14ac:dyDescent="0.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</row>
    <row r="525" spans="1:41" ht="17.25" x14ac:dyDescent="0.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</row>
    <row r="526" spans="1:41" ht="17.25" x14ac:dyDescent="0.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</row>
    <row r="527" spans="1:41" ht="17.25" x14ac:dyDescent="0.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</row>
    <row r="528" spans="1:41" ht="17.25" x14ac:dyDescent="0.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</row>
    <row r="529" spans="1:41" ht="17.25" x14ac:dyDescent="0.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</row>
    <row r="530" spans="1:41" ht="17.25" x14ac:dyDescent="0.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</row>
    <row r="531" spans="1:41" ht="17.25" x14ac:dyDescent="0.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</row>
    <row r="532" spans="1:41" ht="17.25" x14ac:dyDescent="0.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</row>
    <row r="533" spans="1:41" ht="17.25" x14ac:dyDescent="0.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</row>
    <row r="534" spans="1:41" ht="17.25" x14ac:dyDescent="0.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</row>
    <row r="535" spans="1:41" ht="17.25" x14ac:dyDescent="0.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</row>
    <row r="536" spans="1:41" ht="17.25" x14ac:dyDescent="0.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</row>
    <row r="537" spans="1:41" ht="17.25" x14ac:dyDescent="0.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</row>
    <row r="538" spans="1:41" ht="17.25" x14ac:dyDescent="0.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</row>
    <row r="539" spans="1:41" ht="17.25" x14ac:dyDescent="0.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</row>
    <row r="540" spans="1:41" ht="17.25" x14ac:dyDescent="0.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</row>
    <row r="541" spans="1:41" ht="17.25" x14ac:dyDescent="0.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</row>
    <row r="542" spans="1:41" ht="17.25" x14ac:dyDescent="0.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</row>
    <row r="543" spans="1:41" ht="17.25" x14ac:dyDescent="0.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</row>
    <row r="544" spans="1:41" ht="17.25" x14ac:dyDescent="0.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</row>
    <row r="545" spans="1:41" ht="17.25" x14ac:dyDescent="0.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</row>
    <row r="546" spans="1:41" ht="17.25" x14ac:dyDescent="0.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</row>
    <row r="547" spans="1:41" ht="17.25" x14ac:dyDescent="0.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</row>
    <row r="548" spans="1:41" ht="17.25" x14ac:dyDescent="0.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</row>
    <row r="549" spans="1:41" ht="17.25" x14ac:dyDescent="0.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</row>
    <row r="550" spans="1:41" ht="17.25" x14ac:dyDescent="0.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</row>
    <row r="551" spans="1:41" ht="17.25" x14ac:dyDescent="0.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</row>
    <row r="552" spans="1:41" ht="17.25" x14ac:dyDescent="0.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</row>
    <row r="553" spans="1:41" ht="17.25" x14ac:dyDescent="0.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</row>
    <row r="554" spans="1:41" ht="17.25" x14ac:dyDescent="0.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</row>
    <row r="555" spans="1:41" ht="17.25" x14ac:dyDescent="0.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</row>
    <row r="556" spans="1:41" ht="17.25" x14ac:dyDescent="0.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</row>
    <row r="557" spans="1:41" ht="17.25" x14ac:dyDescent="0.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</row>
    <row r="558" spans="1:41" ht="17.25" x14ac:dyDescent="0.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</row>
    <row r="559" spans="1:41" ht="17.25" x14ac:dyDescent="0.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</row>
    <row r="560" spans="1:41" ht="17.25" x14ac:dyDescent="0.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</row>
    <row r="561" spans="1:41" ht="17.25" x14ac:dyDescent="0.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</row>
    <row r="562" spans="1:41" ht="17.25" x14ac:dyDescent="0.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</row>
    <row r="563" spans="1:41" ht="17.25" x14ac:dyDescent="0.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</row>
    <row r="564" spans="1:41" ht="17.25" x14ac:dyDescent="0.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</row>
    <row r="565" spans="1:41" ht="17.25" x14ac:dyDescent="0.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</row>
    <row r="566" spans="1:41" ht="17.25" x14ac:dyDescent="0.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</row>
    <row r="567" spans="1:41" ht="17.25" x14ac:dyDescent="0.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</row>
    <row r="568" spans="1:41" ht="17.25" x14ac:dyDescent="0.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</row>
    <row r="569" spans="1:41" ht="17.25" x14ac:dyDescent="0.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</row>
    <row r="570" spans="1:41" ht="17.25" x14ac:dyDescent="0.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</row>
    <row r="571" spans="1:41" ht="17.25" x14ac:dyDescent="0.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</row>
    <row r="572" spans="1:41" ht="17.25" x14ac:dyDescent="0.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</row>
    <row r="573" spans="1:41" ht="17.25" x14ac:dyDescent="0.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</row>
    <row r="574" spans="1:41" ht="17.25" x14ac:dyDescent="0.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</row>
    <row r="575" spans="1:41" ht="17.25" x14ac:dyDescent="0.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</row>
    <row r="576" spans="1:41" ht="17.25" x14ac:dyDescent="0.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</row>
    <row r="577" spans="1:41" ht="17.25" x14ac:dyDescent="0.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</row>
    <row r="578" spans="1:41" ht="17.25" x14ac:dyDescent="0.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</row>
    <row r="579" spans="1:41" ht="17.25" x14ac:dyDescent="0.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</row>
    <row r="580" spans="1:41" ht="17.25" x14ac:dyDescent="0.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</row>
    <row r="581" spans="1:41" ht="17.25" x14ac:dyDescent="0.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</row>
    <row r="582" spans="1:41" ht="17.25" x14ac:dyDescent="0.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</row>
    <row r="583" spans="1:41" ht="17.25" x14ac:dyDescent="0.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</row>
    <row r="584" spans="1:41" ht="17.25" x14ac:dyDescent="0.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</row>
    <row r="585" spans="1:41" ht="17.25" x14ac:dyDescent="0.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</row>
    <row r="586" spans="1:41" ht="17.25" x14ac:dyDescent="0.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</row>
    <row r="587" spans="1:41" ht="17.25" x14ac:dyDescent="0.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</row>
    <row r="588" spans="1:41" ht="17.25" x14ac:dyDescent="0.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</row>
    <row r="589" spans="1:41" ht="17.25" x14ac:dyDescent="0.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</row>
    <row r="590" spans="1:41" ht="17.25" x14ac:dyDescent="0.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</row>
    <row r="591" spans="1:41" ht="17.25" x14ac:dyDescent="0.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</row>
    <row r="592" spans="1:41" ht="17.25" x14ac:dyDescent="0.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</row>
    <row r="593" spans="1:41" ht="17.25" x14ac:dyDescent="0.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</row>
    <row r="594" spans="1:41" ht="17.25" x14ac:dyDescent="0.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</row>
    <row r="595" spans="1:41" ht="17.25" x14ac:dyDescent="0.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</row>
    <row r="596" spans="1:41" ht="17.25" x14ac:dyDescent="0.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</row>
    <row r="597" spans="1:41" ht="17.25" x14ac:dyDescent="0.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</row>
    <row r="598" spans="1:41" ht="17.25" x14ac:dyDescent="0.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</row>
    <row r="599" spans="1:41" ht="17.25" x14ac:dyDescent="0.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</row>
    <row r="600" spans="1:41" ht="17.25" x14ac:dyDescent="0.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</row>
    <row r="601" spans="1:41" ht="17.25" x14ac:dyDescent="0.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</row>
    <row r="602" spans="1:41" ht="17.25" x14ac:dyDescent="0.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</row>
    <row r="603" spans="1:41" ht="17.25" x14ac:dyDescent="0.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</row>
    <row r="604" spans="1:41" ht="17.25" x14ac:dyDescent="0.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</row>
    <row r="605" spans="1:41" ht="17.25" x14ac:dyDescent="0.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</row>
    <row r="606" spans="1:41" ht="17.25" x14ac:dyDescent="0.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</row>
    <row r="607" spans="1:41" ht="17.25" x14ac:dyDescent="0.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</row>
    <row r="608" spans="1:41" ht="17.25" x14ac:dyDescent="0.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</row>
    <row r="609" spans="1:41" ht="17.25" x14ac:dyDescent="0.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</row>
    <row r="610" spans="1:41" ht="17.25" x14ac:dyDescent="0.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</row>
    <row r="611" spans="1:41" ht="17.25" x14ac:dyDescent="0.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</row>
    <row r="612" spans="1:41" ht="17.25" x14ac:dyDescent="0.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</row>
    <row r="613" spans="1:41" ht="17.25" x14ac:dyDescent="0.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</row>
    <row r="614" spans="1:41" ht="17.25" x14ac:dyDescent="0.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</row>
    <row r="615" spans="1:41" ht="17.25" x14ac:dyDescent="0.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</row>
    <row r="616" spans="1:41" ht="17.25" x14ac:dyDescent="0.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</row>
    <row r="617" spans="1:41" ht="17.25" x14ac:dyDescent="0.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</row>
    <row r="618" spans="1:41" ht="17.25" x14ac:dyDescent="0.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</row>
    <row r="619" spans="1:41" ht="17.25" x14ac:dyDescent="0.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</row>
    <row r="620" spans="1:41" ht="17.25" x14ac:dyDescent="0.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</row>
    <row r="621" spans="1:41" ht="17.25" x14ac:dyDescent="0.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</row>
    <row r="622" spans="1:41" ht="17.25" x14ac:dyDescent="0.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</row>
    <row r="623" spans="1:41" ht="17.25" x14ac:dyDescent="0.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</row>
    <row r="624" spans="1:41" ht="17.25" x14ac:dyDescent="0.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</row>
    <row r="625" spans="1:41" ht="17.25" x14ac:dyDescent="0.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</row>
    <row r="626" spans="1:41" ht="17.25" x14ac:dyDescent="0.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</row>
    <row r="627" spans="1:41" ht="17.25" x14ac:dyDescent="0.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</row>
    <row r="628" spans="1:41" ht="17.25" x14ac:dyDescent="0.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</row>
    <row r="629" spans="1:41" ht="17.25" x14ac:dyDescent="0.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</row>
    <row r="630" spans="1:41" ht="17.25" x14ac:dyDescent="0.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</row>
    <row r="631" spans="1:41" ht="17.25" x14ac:dyDescent="0.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</row>
    <row r="632" spans="1:41" ht="17.25" x14ac:dyDescent="0.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</row>
    <row r="633" spans="1:41" ht="17.25" x14ac:dyDescent="0.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</row>
    <row r="634" spans="1:41" ht="17.25" x14ac:dyDescent="0.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</row>
    <row r="635" spans="1:41" ht="17.25" x14ac:dyDescent="0.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</row>
    <row r="636" spans="1:41" ht="17.25" x14ac:dyDescent="0.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</row>
    <row r="637" spans="1:41" ht="17.25" x14ac:dyDescent="0.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</row>
    <row r="638" spans="1:41" ht="17.25" x14ac:dyDescent="0.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</row>
    <row r="639" spans="1:41" ht="17.25" x14ac:dyDescent="0.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</row>
    <row r="640" spans="1:41" ht="17.25" x14ac:dyDescent="0.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</row>
    <row r="641" spans="1:41" ht="17.25" x14ac:dyDescent="0.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</row>
    <row r="642" spans="1:41" ht="17.25" x14ac:dyDescent="0.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</row>
    <row r="643" spans="1:41" ht="17.25" x14ac:dyDescent="0.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</row>
    <row r="644" spans="1:41" ht="17.25" x14ac:dyDescent="0.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</row>
    <row r="645" spans="1:41" ht="17.25" x14ac:dyDescent="0.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</row>
    <row r="646" spans="1:41" ht="17.25" x14ac:dyDescent="0.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</row>
    <row r="647" spans="1:41" ht="17.25" x14ac:dyDescent="0.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</row>
    <row r="648" spans="1:41" ht="17.25" x14ac:dyDescent="0.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</row>
    <row r="649" spans="1:41" ht="17.25" x14ac:dyDescent="0.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</row>
    <row r="650" spans="1:41" ht="17.25" x14ac:dyDescent="0.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</row>
    <row r="651" spans="1:41" ht="17.25" x14ac:dyDescent="0.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</row>
    <row r="652" spans="1:41" ht="17.25" x14ac:dyDescent="0.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</row>
    <row r="653" spans="1:41" ht="17.25" x14ac:dyDescent="0.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</row>
    <row r="654" spans="1:41" ht="17.25" x14ac:dyDescent="0.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</row>
    <row r="655" spans="1:41" ht="17.25" x14ac:dyDescent="0.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</row>
    <row r="656" spans="1:41" ht="17.25" x14ac:dyDescent="0.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</row>
    <row r="657" spans="1:41" ht="17.25" x14ac:dyDescent="0.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</row>
    <row r="658" spans="1:41" ht="17.25" x14ac:dyDescent="0.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</row>
    <row r="659" spans="1:41" ht="17.25" x14ac:dyDescent="0.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</row>
    <row r="660" spans="1:41" ht="17.25" x14ac:dyDescent="0.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</row>
    <row r="661" spans="1:41" ht="17.25" x14ac:dyDescent="0.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</row>
    <row r="662" spans="1:41" ht="17.25" x14ac:dyDescent="0.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</row>
    <row r="663" spans="1:41" ht="17.25" x14ac:dyDescent="0.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</row>
    <row r="664" spans="1:41" ht="17.25" x14ac:dyDescent="0.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</row>
    <row r="665" spans="1:41" ht="17.25" x14ac:dyDescent="0.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</row>
    <row r="666" spans="1:41" ht="17.25" x14ac:dyDescent="0.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</row>
    <row r="667" spans="1:41" ht="17.25" x14ac:dyDescent="0.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</row>
    <row r="668" spans="1:41" ht="17.25" x14ac:dyDescent="0.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</row>
    <row r="669" spans="1:41" ht="17.25" x14ac:dyDescent="0.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</row>
    <row r="670" spans="1:41" ht="17.25" x14ac:dyDescent="0.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</row>
    <row r="671" spans="1:41" ht="17.25" x14ac:dyDescent="0.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</row>
    <row r="672" spans="1:41" ht="17.25" x14ac:dyDescent="0.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</row>
    <row r="673" spans="1:41" ht="17.25" x14ac:dyDescent="0.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</row>
    <row r="674" spans="1:41" ht="17.25" x14ac:dyDescent="0.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</row>
    <row r="675" spans="1:41" ht="17.25" x14ac:dyDescent="0.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</row>
    <row r="676" spans="1:41" ht="17.25" x14ac:dyDescent="0.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</row>
    <row r="677" spans="1:41" ht="17.25" x14ac:dyDescent="0.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</row>
    <row r="678" spans="1:41" ht="17.25" x14ac:dyDescent="0.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</row>
    <row r="679" spans="1:41" ht="17.25" x14ac:dyDescent="0.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</row>
    <row r="680" spans="1:41" ht="17.25" x14ac:dyDescent="0.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</row>
    <row r="681" spans="1:41" ht="17.25" x14ac:dyDescent="0.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</row>
    <row r="682" spans="1:41" ht="17.25" x14ac:dyDescent="0.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</row>
    <row r="683" spans="1:41" ht="17.25" x14ac:dyDescent="0.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</row>
    <row r="684" spans="1:41" ht="17.25" x14ac:dyDescent="0.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</row>
    <row r="685" spans="1:41" ht="17.25" x14ac:dyDescent="0.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</row>
    <row r="686" spans="1:41" ht="17.25" x14ac:dyDescent="0.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</row>
    <row r="687" spans="1:41" ht="17.25" x14ac:dyDescent="0.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</row>
    <row r="688" spans="1:41" ht="17.25" x14ac:dyDescent="0.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</row>
    <row r="689" spans="1:41" ht="17.25" x14ac:dyDescent="0.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</row>
    <row r="690" spans="1:41" ht="17.25" x14ac:dyDescent="0.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</row>
    <row r="691" spans="1:41" ht="17.25" x14ac:dyDescent="0.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</row>
    <row r="692" spans="1:41" ht="17.25" x14ac:dyDescent="0.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</row>
    <row r="693" spans="1:41" ht="17.25" x14ac:dyDescent="0.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</row>
    <row r="694" spans="1:41" ht="17.25" x14ac:dyDescent="0.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</row>
    <row r="695" spans="1:41" ht="17.25" x14ac:dyDescent="0.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</row>
    <row r="696" spans="1:41" ht="17.25" x14ac:dyDescent="0.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</row>
    <row r="697" spans="1:41" ht="17.25" x14ac:dyDescent="0.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</row>
    <row r="698" spans="1:41" ht="17.25" x14ac:dyDescent="0.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</row>
    <row r="699" spans="1:41" ht="17.25" x14ac:dyDescent="0.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</row>
    <row r="700" spans="1:41" ht="17.25" x14ac:dyDescent="0.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</row>
    <row r="701" spans="1:41" ht="17.25" x14ac:dyDescent="0.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</row>
    <row r="702" spans="1:41" ht="17.25" x14ac:dyDescent="0.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</row>
    <row r="703" spans="1:41" ht="17.25" x14ac:dyDescent="0.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</row>
    <row r="704" spans="1:41" ht="17.25" x14ac:dyDescent="0.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</row>
    <row r="705" spans="1:41" ht="17.25" x14ac:dyDescent="0.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</row>
    <row r="706" spans="1:41" ht="17.25" x14ac:dyDescent="0.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</row>
    <row r="707" spans="1:41" ht="17.25" x14ac:dyDescent="0.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</row>
    <row r="708" spans="1:41" ht="17.25" x14ac:dyDescent="0.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</row>
    <row r="709" spans="1:41" ht="17.25" x14ac:dyDescent="0.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</row>
    <row r="710" spans="1:41" ht="17.25" x14ac:dyDescent="0.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</row>
    <row r="711" spans="1:41" ht="17.25" x14ac:dyDescent="0.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</row>
    <row r="712" spans="1:41" ht="17.25" x14ac:dyDescent="0.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</row>
    <row r="713" spans="1:41" ht="17.25" x14ac:dyDescent="0.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</row>
    <row r="714" spans="1:41" ht="17.25" x14ac:dyDescent="0.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</row>
    <row r="715" spans="1:41" ht="17.25" x14ac:dyDescent="0.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</row>
    <row r="716" spans="1:41" ht="17.25" x14ac:dyDescent="0.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</row>
    <row r="717" spans="1:41" ht="17.25" x14ac:dyDescent="0.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</row>
    <row r="718" spans="1:41" ht="17.25" x14ac:dyDescent="0.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</row>
    <row r="719" spans="1:41" ht="17.25" x14ac:dyDescent="0.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</row>
    <row r="720" spans="1:41" ht="17.25" x14ac:dyDescent="0.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</row>
    <row r="721" spans="1:41" ht="17.25" x14ac:dyDescent="0.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</row>
    <row r="722" spans="1:41" ht="17.25" x14ac:dyDescent="0.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</row>
    <row r="723" spans="1:41" ht="17.25" x14ac:dyDescent="0.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</row>
    <row r="724" spans="1:41" ht="17.25" x14ac:dyDescent="0.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</row>
    <row r="725" spans="1:41" ht="17.25" x14ac:dyDescent="0.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</row>
    <row r="726" spans="1:41" ht="17.25" x14ac:dyDescent="0.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</row>
    <row r="727" spans="1:41" ht="17.25" x14ac:dyDescent="0.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</row>
    <row r="728" spans="1:41" ht="17.25" x14ac:dyDescent="0.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</row>
    <row r="729" spans="1:41" ht="17.25" x14ac:dyDescent="0.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</row>
    <row r="730" spans="1:41" ht="17.25" x14ac:dyDescent="0.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</row>
    <row r="731" spans="1:41" ht="17.25" x14ac:dyDescent="0.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</row>
    <row r="732" spans="1:41" ht="17.25" x14ac:dyDescent="0.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</row>
    <row r="733" spans="1:41" ht="17.25" x14ac:dyDescent="0.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</row>
    <row r="734" spans="1:41" ht="17.25" x14ac:dyDescent="0.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</row>
    <row r="735" spans="1:41" ht="17.25" x14ac:dyDescent="0.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</row>
    <row r="736" spans="1:41" ht="17.25" x14ac:dyDescent="0.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</row>
    <row r="737" spans="1:41" ht="17.25" x14ac:dyDescent="0.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</row>
    <row r="738" spans="1:41" ht="17.25" x14ac:dyDescent="0.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</row>
    <row r="739" spans="1:41" ht="17.25" x14ac:dyDescent="0.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</row>
    <row r="740" spans="1:41" ht="17.25" x14ac:dyDescent="0.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</row>
    <row r="741" spans="1:41" ht="17.25" x14ac:dyDescent="0.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</row>
    <row r="742" spans="1:41" ht="17.25" x14ac:dyDescent="0.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</row>
    <row r="743" spans="1:41" ht="17.25" x14ac:dyDescent="0.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</row>
    <row r="744" spans="1:41" ht="17.25" x14ac:dyDescent="0.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</row>
    <row r="745" spans="1:41" ht="17.25" x14ac:dyDescent="0.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</row>
    <row r="746" spans="1:41" ht="17.25" x14ac:dyDescent="0.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</row>
    <row r="747" spans="1:41" ht="17.25" x14ac:dyDescent="0.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</row>
    <row r="748" spans="1:41" ht="17.25" x14ac:dyDescent="0.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</row>
    <row r="749" spans="1:41" ht="17.25" x14ac:dyDescent="0.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</row>
    <row r="750" spans="1:41" ht="17.25" x14ac:dyDescent="0.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</row>
    <row r="751" spans="1:41" ht="17.25" x14ac:dyDescent="0.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</row>
    <row r="752" spans="1:41" ht="17.25" x14ac:dyDescent="0.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</row>
    <row r="753" spans="1:41" ht="17.25" x14ac:dyDescent="0.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</row>
    <row r="754" spans="1:41" ht="17.25" x14ac:dyDescent="0.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</row>
    <row r="755" spans="1:41" ht="17.25" x14ac:dyDescent="0.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</row>
    <row r="756" spans="1:41" ht="17.25" x14ac:dyDescent="0.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</row>
    <row r="757" spans="1:41" ht="17.25" x14ac:dyDescent="0.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</row>
    <row r="758" spans="1:41" ht="17.25" x14ac:dyDescent="0.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</row>
    <row r="759" spans="1:41" ht="17.25" x14ac:dyDescent="0.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</row>
    <row r="760" spans="1:41" ht="17.25" x14ac:dyDescent="0.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</row>
    <row r="761" spans="1:41" ht="17.25" x14ac:dyDescent="0.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</row>
    <row r="762" spans="1:41" ht="17.25" x14ac:dyDescent="0.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</row>
    <row r="763" spans="1:41" ht="17.25" x14ac:dyDescent="0.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</row>
    <row r="764" spans="1:41" ht="17.25" x14ac:dyDescent="0.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</row>
    <row r="765" spans="1:41" ht="17.25" x14ac:dyDescent="0.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</row>
    <row r="766" spans="1:41" ht="17.25" x14ac:dyDescent="0.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</row>
    <row r="767" spans="1:41" ht="17.25" x14ac:dyDescent="0.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</row>
    <row r="768" spans="1:41" ht="17.25" x14ac:dyDescent="0.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</row>
    <row r="769" spans="1:41" ht="17.25" x14ac:dyDescent="0.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</row>
    <row r="770" spans="1:41" ht="17.25" x14ac:dyDescent="0.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</row>
    <row r="771" spans="1:41" ht="17.25" x14ac:dyDescent="0.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</row>
    <row r="772" spans="1:41" ht="17.25" x14ac:dyDescent="0.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</row>
    <row r="773" spans="1:41" ht="17.25" x14ac:dyDescent="0.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</row>
    <row r="774" spans="1:41" ht="17.25" x14ac:dyDescent="0.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</row>
    <row r="775" spans="1:41" ht="17.25" x14ac:dyDescent="0.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</row>
    <row r="776" spans="1:41" ht="17.25" x14ac:dyDescent="0.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</row>
    <row r="777" spans="1:41" ht="17.25" x14ac:dyDescent="0.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</row>
    <row r="778" spans="1:41" ht="17.25" x14ac:dyDescent="0.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</row>
    <row r="779" spans="1:41" ht="17.25" x14ac:dyDescent="0.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</row>
    <row r="780" spans="1:41" ht="17.25" x14ac:dyDescent="0.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</row>
    <row r="781" spans="1:41" ht="17.25" x14ac:dyDescent="0.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</row>
    <row r="782" spans="1:41" ht="17.25" x14ac:dyDescent="0.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</row>
    <row r="783" spans="1:41" ht="17.25" x14ac:dyDescent="0.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</row>
    <row r="784" spans="1:41" ht="17.25" x14ac:dyDescent="0.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</row>
    <row r="785" spans="1:41" ht="17.25" x14ac:dyDescent="0.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</row>
    <row r="786" spans="1:41" ht="17.25" x14ac:dyDescent="0.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</row>
    <row r="787" spans="1:41" ht="17.25" x14ac:dyDescent="0.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</row>
    <row r="788" spans="1:41" ht="17.25" x14ac:dyDescent="0.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</row>
    <row r="789" spans="1:41" ht="17.25" x14ac:dyDescent="0.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</row>
    <row r="790" spans="1:41" ht="17.25" x14ac:dyDescent="0.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</row>
    <row r="791" spans="1:41" ht="17.25" x14ac:dyDescent="0.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</row>
    <row r="792" spans="1:41" ht="17.25" x14ac:dyDescent="0.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</row>
    <row r="793" spans="1:41" ht="17.25" x14ac:dyDescent="0.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</row>
    <row r="794" spans="1:41" ht="17.25" x14ac:dyDescent="0.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</row>
    <row r="795" spans="1:41" ht="17.25" x14ac:dyDescent="0.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</row>
    <row r="796" spans="1:41" ht="17.25" x14ac:dyDescent="0.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</row>
    <row r="797" spans="1:41" ht="17.25" x14ac:dyDescent="0.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</row>
    <row r="798" spans="1:41" ht="17.25" x14ac:dyDescent="0.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</row>
    <row r="799" spans="1:41" ht="17.25" x14ac:dyDescent="0.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</row>
    <row r="800" spans="1:41" ht="17.25" x14ac:dyDescent="0.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</row>
    <row r="801" spans="1:41" ht="17.25" x14ac:dyDescent="0.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</row>
    <row r="802" spans="1:41" ht="17.25" x14ac:dyDescent="0.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</row>
    <row r="803" spans="1:41" ht="17.25" x14ac:dyDescent="0.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</row>
    <row r="804" spans="1:41" ht="17.25" x14ac:dyDescent="0.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</row>
    <row r="805" spans="1:41" ht="17.25" x14ac:dyDescent="0.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</row>
    <row r="806" spans="1:41" ht="17.25" x14ac:dyDescent="0.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</row>
    <row r="807" spans="1:41" ht="17.25" x14ac:dyDescent="0.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</row>
    <row r="808" spans="1:41" ht="17.25" x14ac:dyDescent="0.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</row>
    <row r="809" spans="1:41" ht="17.25" x14ac:dyDescent="0.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</row>
    <row r="810" spans="1:41" ht="17.25" x14ac:dyDescent="0.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</row>
    <row r="811" spans="1:41" ht="17.25" x14ac:dyDescent="0.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</row>
    <row r="812" spans="1:41" ht="17.25" x14ac:dyDescent="0.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</row>
    <row r="813" spans="1:41" ht="17.25" x14ac:dyDescent="0.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</row>
    <row r="814" spans="1:41" ht="17.25" x14ac:dyDescent="0.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</row>
    <row r="815" spans="1:41" ht="17.25" x14ac:dyDescent="0.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</row>
    <row r="816" spans="1:41" ht="17.25" x14ac:dyDescent="0.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</row>
    <row r="817" spans="1:41" ht="17.25" x14ac:dyDescent="0.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</row>
    <row r="818" spans="1:41" ht="17.25" x14ac:dyDescent="0.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</row>
    <row r="819" spans="1:41" ht="17.25" x14ac:dyDescent="0.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</row>
    <row r="820" spans="1:41" ht="17.25" x14ac:dyDescent="0.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</row>
    <row r="821" spans="1:41" ht="17.25" x14ac:dyDescent="0.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</row>
    <row r="822" spans="1:41" ht="17.25" x14ac:dyDescent="0.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</row>
    <row r="823" spans="1:41" ht="17.25" x14ac:dyDescent="0.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</row>
    <row r="824" spans="1:41" ht="17.25" x14ac:dyDescent="0.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</row>
    <row r="825" spans="1:41" ht="17.25" x14ac:dyDescent="0.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</row>
    <row r="826" spans="1:41" ht="17.25" x14ac:dyDescent="0.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</row>
    <row r="827" spans="1:41" ht="17.25" x14ac:dyDescent="0.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</row>
    <row r="828" spans="1:41" ht="17.25" x14ac:dyDescent="0.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</row>
    <row r="829" spans="1:41" ht="17.25" x14ac:dyDescent="0.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</row>
    <row r="830" spans="1:41" ht="17.25" x14ac:dyDescent="0.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</row>
    <row r="831" spans="1:41" ht="17.25" x14ac:dyDescent="0.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</row>
    <row r="832" spans="1:41" ht="17.25" x14ac:dyDescent="0.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</row>
    <row r="833" spans="1:41" ht="17.25" x14ac:dyDescent="0.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</row>
    <row r="834" spans="1:41" ht="17.25" x14ac:dyDescent="0.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</row>
    <row r="835" spans="1:41" ht="17.25" x14ac:dyDescent="0.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</row>
    <row r="836" spans="1:41" ht="17.25" x14ac:dyDescent="0.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</row>
    <row r="837" spans="1:41" ht="17.25" x14ac:dyDescent="0.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</row>
    <row r="838" spans="1:41" ht="17.25" x14ac:dyDescent="0.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</row>
    <row r="839" spans="1:41" ht="17.25" x14ac:dyDescent="0.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</row>
    <row r="840" spans="1:41" ht="17.25" x14ac:dyDescent="0.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</row>
    <row r="841" spans="1:41" ht="17.25" x14ac:dyDescent="0.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</row>
    <row r="842" spans="1:41" ht="17.25" x14ac:dyDescent="0.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</row>
    <row r="843" spans="1:41" ht="17.25" x14ac:dyDescent="0.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</row>
    <row r="844" spans="1:41" ht="17.25" x14ac:dyDescent="0.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</row>
    <row r="845" spans="1:41" ht="17.25" x14ac:dyDescent="0.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</row>
    <row r="846" spans="1:41" ht="17.25" x14ac:dyDescent="0.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</row>
    <row r="847" spans="1:41" ht="17.25" x14ac:dyDescent="0.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</row>
    <row r="848" spans="1:41" ht="17.25" x14ac:dyDescent="0.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</row>
    <row r="849" spans="1:41" ht="17.25" x14ac:dyDescent="0.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</row>
    <row r="850" spans="1:41" ht="17.25" x14ac:dyDescent="0.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</row>
    <row r="851" spans="1:41" ht="17.25" x14ac:dyDescent="0.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</row>
    <row r="852" spans="1:41" ht="17.25" x14ac:dyDescent="0.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</row>
    <row r="853" spans="1:41" ht="17.25" x14ac:dyDescent="0.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</row>
    <row r="854" spans="1:41" ht="17.25" x14ac:dyDescent="0.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</row>
    <row r="855" spans="1:41" ht="17.25" x14ac:dyDescent="0.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</row>
    <row r="856" spans="1:41" ht="17.25" x14ac:dyDescent="0.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</row>
    <row r="857" spans="1:41" ht="17.25" x14ac:dyDescent="0.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</row>
    <row r="858" spans="1:41" ht="17.25" x14ac:dyDescent="0.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</row>
    <row r="859" spans="1:41" ht="17.25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</row>
    <row r="860" spans="1:41" ht="17.25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</row>
    <row r="861" spans="1:41" ht="17.25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</row>
    <row r="862" spans="1:41" ht="17.25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</row>
    <row r="863" spans="1:41" ht="17.25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</row>
    <row r="864" spans="1:41" ht="17.25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</row>
    <row r="865" spans="1:41" ht="17.25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</row>
    <row r="866" spans="1:41" ht="17.25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</row>
    <row r="867" spans="1:41" ht="17.25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</row>
    <row r="868" spans="1:41" ht="17.25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</row>
    <row r="869" spans="1:41" ht="17.25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</row>
    <row r="870" spans="1:41" ht="17.25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</row>
    <row r="871" spans="1:41" ht="17.25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</row>
    <row r="872" spans="1:41" ht="17.25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</row>
    <row r="873" spans="1:41" ht="17.25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</row>
    <row r="874" spans="1:41" ht="17.25" x14ac:dyDescent="0.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</row>
    <row r="875" spans="1:41" ht="17.25" x14ac:dyDescent="0.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</row>
    <row r="876" spans="1:41" ht="17.25" x14ac:dyDescent="0.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</row>
    <row r="877" spans="1:41" ht="17.25" x14ac:dyDescent="0.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</row>
    <row r="878" spans="1:41" ht="17.25" x14ac:dyDescent="0.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</row>
    <row r="879" spans="1:41" ht="17.25" x14ac:dyDescent="0.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</row>
    <row r="880" spans="1:41" ht="17.25" x14ac:dyDescent="0.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</row>
    <row r="881" spans="1:41" ht="17.25" x14ac:dyDescent="0.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</row>
    <row r="882" spans="1:41" ht="17.25" x14ac:dyDescent="0.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</row>
    <row r="883" spans="1:41" ht="17.25" x14ac:dyDescent="0.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</row>
    <row r="884" spans="1:41" ht="17.25" x14ac:dyDescent="0.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</row>
    <row r="885" spans="1:41" ht="17.25" x14ac:dyDescent="0.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</row>
    <row r="886" spans="1:41" ht="17.25" x14ac:dyDescent="0.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</row>
    <row r="887" spans="1:41" ht="17.25" x14ac:dyDescent="0.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</row>
    <row r="888" spans="1:41" ht="17.25" x14ac:dyDescent="0.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</row>
    <row r="889" spans="1:41" ht="17.25" x14ac:dyDescent="0.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</row>
    <row r="890" spans="1:41" ht="17.25" x14ac:dyDescent="0.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</row>
    <row r="891" spans="1:41" ht="17.25" x14ac:dyDescent="0.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</row>
    <row r="892" spans="1:41" ht="17.25" x14ac:dyDescent="0.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</row>
    <row r="893" spans="1:41" ht="17.25" x14ac:dyDescent="0.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</row>
    <row r="894" spans="1:41" ht="17.25" x14ac:dyDescent="0.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</row>
    <row r="895" spans="1:41" ht="17.25" x14ac:dyDescent="0.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</row>
    <row r="896" spans="1:41" ht="17.25" x14ac:dyDescent="0.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</row>
    <row r="897" spans="1:41" ht="17.25" x14ac:dyDescent="0.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</row>
    <row r="898" spans="1:41" ht="17.25" x14ac:dyDescent="0.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</row>
    <row r="899" spans="1:41" ht="17.25" x14ac:dyDescent="0.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</row>
    <row r="900" spans="1:41" ht="17.25" x14ac:dyDescent="0.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</row>
    <row r="901" spans="1:41" ht="17.25" x14ac:dyDescent="0.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</row>
    <row r="902" spans="1:41" ht="17.25" x14ac:dyDescent="0.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</row>
    <row r="903" spans="1:41" ht="17.25" x14ac:dyDescent="0.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</row>
    <row r="904" spans="1:41" ht="17.25" x14ac:dyDescent="0.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</row>
    <row r="905" spans="1:41" ht="17.25" x14ac:dyDescent="0.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</row>
    <row r="906" spans="1:41" ht="17.25" x14ac:dyDescent="0.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</row>
    <row r="907" spans="1:41" ht="17.25" x14ac:dyDescent="0.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</row>
    <row r="908" spans="1:41" ht="17.25" x14ac:dyDescent="0.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</row>
    <row r="909" spans="1:41" ht="17.25" x14ac:dyDescent="0.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</row>
    <row r="910" spans="1:41" ht="17.25" x14ac:dyDescent="0.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</row>
    <row r="911" spans="1:41" ht="17.25" x14ac:dyDescent="0.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</row>
    <row r="912" spans="1:41" ht="17.25" x14ac:dyDescent="0.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</row>
    <row r="913" spans="1:41" ht="17.25" x14ac:dyDescent="0.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</row>
    <row r="914" spans="1:41" ht="17.25" x14ac:dyDescent="0.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</row>
    <row r="915" spans="1:41" ht="17.25" x14ac:dyDescent="0.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</row>
    <row r="916" spans="1:41" ht="17.25" x14ac:dyDescent="0.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</row>
    <row r="917" spans="1:41" ht="17.25" x14ac:dyDescent="0.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</row>
    <row r="918" spans="1:41" ht="17.25" x14ac:dyDescent="0.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</row>
    <row r="919" spans="1:41" ht="17.25" x14ac:dyDescent="0.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</row>
    <row r="920" spans="1:41" ht="17.25" x14ac:dyDescent="0.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</row>
    <row r="921" spans="1:41" ht="17.25" x14ac:dyDescent="0.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</row>
    <row r="922" spans="1:41" ht="17.25" x14ac:dyDescent="0.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</row>
    <row r="923" spans="1:41" ht="17.25" x14ac:dyDescent="0.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</row>
    <row r="924" spans="1:41" ht="17.25" x14ac:dyDescent="0.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</row>
    <row r="925" spans="1:41" ht="17.25" x14ac:dyDescent="0.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</row>
    <row r="926" spans="1:41" ht="17.25" x14ac:dyDescent="0.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</row>
    <row r="927" spans="1:41" ht="17.25" x14ac:dyDescent="0.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</row>
    <row r="928" spans="1:41" ht="17.25" x14ac:dyDescent="0.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</row>
    <row r="929" spans="1:41" ht="17.25" x14ac:dyDescent="0.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</row>
    <row r="930" spans="1:41" ht="17.25" x14ac:dyDescent="0.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</row>
    <row r="931" spans="1:41" ht="17.25" x14ac:dyDescent="0.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</row>
    <row r="932" spans="1:41" ht="17.25" x14ac:dyDescent="0.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</row>
    <row r="933" spans="1:41" ht="17.25" x14ac:dyDescent="0.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</row>
    <row r="934" spans="1:41" ht="17.25" x14ac:dyDescent="0.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</row>
    <row r="935" spans="1:41" ht="17.25" x14ac:dyDescent="0.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</row>
    <row r="936" spans="1:41" ht="17.25" x14ac:dyDescent="0.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</row>
    <row r="937" spans="1:41" ht="17.25" x14ac:dyDescent="0.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</row>
    <row r="938" spans="1:41" ht="17.25" x14ac:dyDescent="0.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</row>
    <row r="939" spans="1:41" ht="17.25" x14ac:dyDescent="0.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</row>
    <row r="940" spans="1:41" ht="17.25" x14ac:dyDescent="0.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</row>
    <row r="941" spans="1:41" ht="17.25" x14ac:dyDescent="0.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</row>
    <row r="942" spans="1:41" ht="17.25" x14ac:dyDescent="0.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</row>
    <row r="943" spans="1:41" ht="17.25" x14ac:dyDescent="0.1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</row>
    <row r="944" spans="1:41" ht="17.25" x14ac:dyDescent="0.1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</row>
    <row r="945" spans="1:41" ht="17.25" x14ac:dyDescent="0.1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</row>
    <row r="946" spans="1:41" ht="17.25" x14ac:dyDescent="0.1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</row>
    <row r="947" spans="1:41" ht="17.25" x14ac:dyDescent="0.1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</row>
    <row r="948" spans="1:41" ht="17.25" x14ac:dyDescent="0.1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</row>
    <row r="949" spans="1:41" ht="17.25" x14ac:dyDescent="0.1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</row>
    <row r="950" spans="1:41" ht="17.25" x14ac:dyDescent="0.1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</row>
    <row r="951" spans="1:41" ht="17.25" x14ac:dyDescent="0.1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</row>
    <row r="952" spans="1:41" ht="17.25" x14ac:dyDescent="0.1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</row>
    <row r="953" spans="1:41" ht="17.25" x14ac:dyDescent="0.1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</row>
    <row r="954" spans="1:41" ht="17.25" x14ac:dyDescent="0.1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</row>
    <row r="955" spans="1:41" ht="17.25" x14ac:dyDescent="0.1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</row>
    <row r="956" spans="1:41" ht="17.25" x14ac:dyDescent="0.1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</row>
    <row r="957" spans="1:41" ht="17.25" x14ac:dyDescent="0.1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</row>
    <row r="958" spans="1:41" ht="17.25" x14ac:dyDescent="0.1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</row>
    <row r="959" spans="1:41" ht="17.25" x14ac:dyDescent="0.1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</row>
    <row r="960" spans="1:41" ht="17.25" x14ac:dyDescent="0.15">
      <c r="A960" s="19"/>
      <c r="B960" s="19"/>
      <c r="C960" s="19"/>
      <c r="D960" s="19"/>
      <c r="E960" s="19"/>
      <c r="F960" s="19"/>
      <c r="G960" s="19"/>
      <c r="H960" s="19"/>
      <c r="I960" s="19"/>
      <c r="P960" s="19"/>
      <c r="Q960" s="19"/>
      <c r="R960" s="19"/>
      <c r="S960" s="19"/>
      <c r="T960" s="19"/>
      <c r="U960" s="19"/>
      <c r="V960" s="19"/>
    </row>
    <row r="961" spans="1:22" ht="17.25" x14ac:dyDescent="0.15">
      <c r="A961" s="19"/>
      <c r="B961" s="19"/>
      <c r="C961" s="19"/>
      <c r="D961" s="19"/>
      <c r="E961" s="19"/>
      <c r="F961" s="19"/>
      <c r="G961" s="19"/>
      <c r="H961" s="19"/>
      <c r="I961" s="19"/>
      <c r="P961" s="19"/>
      <c r="Q961" s="19"/>
      <c r="R961" s="19"/>
      <c r="S961" s="19"/>
      <c r="T961" s="19"/>
      <c r="U961" s="19"/>
      <c r="V961" s="19"/>
    </row>
  </sheetData>
  <mergeCells count="1">
    <mergeCell ref="A2:C2"/>
  </mergeCells>
  <conditionalFormatting sqref="AC5:AO5">
    <cfRule type="notContainsBlanks" dxfId="2" priority="1">
      <formula>LEN(TRIM(AC5))&gt;0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2384D"/>
    <outlinePr summaryBelow="0" summaryRight="0"/>
  </sheetPr>
  <dimension ref="A1:AO981"/>
  <sheetViews>
    <sheetView workbookViewId="0">
      <pane ySplit="6" topLeftCell="A7" activePane="bottomLeft" state="frozen"/>
      <selection pane="bottomLeft" activeCell="B8" sqref="B8"/>
    </sheetView>
  </sheetViews>
  <sheetFormatPr defaultColWidth="12.5390625" defaultRowHeight="15.75" customHeight="1" outlineLevelRow="3" outlineLevelCol="1" x14ac:dyDescent="0.15"/>
  <cols>
    <col min="1" max="1" width="33.44140625" customWidth="1" collapsed="1"/>
    <col min="2" max="2" width="8.08984375" hidden="1" customWidth="1" outlineLevel="1"/>
    <col min="3" max="3" width="16.1796875" customWidth="1" collapsed="1"/>
    <col min="4" max="15" width="13.88671875" hidden="1" customWidth="1" outlineLevel="1"/>
    <col min="16" max="16" width="16.5859375" customWidth="1" collapsed="1"/>
    <col min="17" max="28" width="16.1796875" hidden="1" customWidth="1" outlineLevel="1"/>
    <col min="29" max="29" width="18.33984375" customWidth="1" collapsed="1"/>
    <col min="30" max="41" width="11.0546875" hidden="1" customWidth="1" outlineLevel="1"/>
  </cols>
  <sheetData>
    <row r="1" spans="1:41" ht="42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8" customHeight="1" x14ac:dyDescent="0.15">
      <c r="A2" s="161" t="s">
        <v>54</v>
      </c>
      <c r="B2" s="162"/>
      <c r="C2" s="162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3.5" customHeight="1" x14ac:dyDescent="0.3">
      <c r="A3" s="19"/>
      <c r="B3" s="19"/>
      <c r="C3" s="19"/>
      <c r="D3" s="19"/>
      <c r="E3" s="19"/>
      <c r="F3" s="19"/>
      <c r="G3" s="19"/>
      <c r="H3" s="19">
        <f>H12/H7</f>
        <v>0.67321121279999996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ht="13.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ht="21.75" x14ac:dyDescent="0.45">
      <c r="A5" s="1" t="s">
        <v>140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36" x14ac:dyDescent="0.4">
      <c r="A6" s="56" t="s">
        <v>100</v>
      </c>
      <c r="B6" s="56" t="s">
        <v>101</v>
      </c>
      <c r="C6" s="57">
        <v>45291</v>
      </c>
      <c r="D6" s="60">
        <v>44927</v>
      </c>
      <c r="E6" s="60">
        <v>44958</v>
      </c>
      <c r="F6" s="58">
        <v>44986</v>
      </c>
      <c r="G6" s="58">
        <v>45017</v>
      </c>
      <c r="H6" s="58">
        <v>45047</v>
      </c>
      <c r="I6" s="58">
        <v>45078</v>
      </c>
      <c r="J6" s="58">
        <v>45108</v>
      </c>
      <c r="K6" s="58">
        <v>45139</v>
      </c>
      <c r="L6" s="58">
        <v>45170</v>
      </c>
      <c r="M6" s="58">
        <v>45200</v>
      </c>
      <c r="N6" s="58">
        <v>45231</v>
      </c>
      <c r="O6" s="58">
        <v>45261</v>
      </c>
      <c r="P6" s="84">
        <v>2024</v>
      </c>
      <c r="Q6" s="60">
        <v>45292</v>
      </c>
      <c r="R6" s="60">
        <v>45323</v>
      </c>
      <c r="S6" s="60">
        <v>45352</v>
      </c>
      <c r="T6" s="60">
        <v>45383</v>
      </c>
      <c r="U6" s="60">
        <v>45413</v>
      </c>
      <c r="V6" s="60">
        <v>45444</v>
      </c>
      <c r="W6" s="60">
        <v>45474</v>
      </c>
      <c r="X6" s="60">
        <v>45505</v>
      </c>
      <c r="Y6" s="60">
        <v>45536</v>
      </c>
      <c r="Z6" s="60">
        <v>45566</v>
      </c>
      <c r="AA6" s="60">
        <v>45597</v>
      </c>
      <c r="AB6" s="60">
        <v>45627</v>
      </c>
      <c r="AC6" s="84">
        <v>2025</v>
      </c>
      <c r="AD6" s="60">
        <v>45658</v>
      </c>
      <c r="AE6" s="60">
        <v>45689</v>
      </c>
      <c r="AF6" s="60">
        <v>45717</v>
      </c>
      <c r="AG6" s="60">
        <v>45748</v>
      </c>
      <c r="AH6" s="60">
        <v>45778</v>
      </c>
      <c r="AI6" s="60">
        <v>45809</v>
      </c>
      <c r="AJ6" s="60">
        <v>45839</v>
      </c>
      <c r="AK6" s="60">
        <v>45870</v>
      </c>
      <c r="AL6" s="60">
        <v>45901</v>
      </c>
      <c r="AM6" s="60">
        <v>45931</v>
      </c>
      <c r="AN6" s="60">
        <v>45962</v>
      </c>
      <c r="AO6" s="60">
        <v>45992</v>
      </c>
    </row>
    <row r="7" spans="1:41" ht="17.25" collapsed="1" x14ac:dyDescent="0.3">
      <c r="A7" s="116" t="s">
        <v>141</v>
      </c>
      <c r="B7" s="117"/>
      <c r="C7" s="77">
        <f t="shared" ref="C7:C48" si="0">SUM(D7:O7)</f>
        <v>1486800000</v>
      </c>
      <c r="D7" s="77">
        <f t="shared" ref="D7:O7" si="1">D8</f>
        <v>0</v>
      </c>
      <c r="E7" s="77">
        <f t="shared" si="1"/>
        <v>0</v>
      </c>
      <c r="F7" s="77">
        <f t="shared" si="1"/>
        <v>0</v>
      </c>
      <c r="G7" s="77">
        <f t="shared" si="1"/>
        <v>0</v>
      </c>
      <c r="H7" s="77">
        <f t="shared" si="1"/>
        <v>50400000</v>
      </c>
      <c r="I7" s="77">
        <f t="shared" si="1"/>
        <v>125999999.99999999</v>
      </c>
      <c r="J7" s="77">
        <f t="shared" si="1"/>
        <v>176399999.99999997</v>
      </c>
      <c r="K7" s="77">
        <f t="shared" si="1"/>
        <v>201600000</v>
      </c>
      <c r="L7" s="77">
        <f t="shared" si="1"/>
        <v>176399999.99999997</v>
      </c>
      <c r="M7" s="77">
        <f t="shared" si="1"/>
        <v>251999999.99999997</v>
      </c>
      <c r="N7" s="77">
        <f t="shared" si="1"/>
        <v>251999999.99999997</v>
      </c>
      <c r="O7" s="77">
        <f t="shared" si="1"/>
        <v>251999999.99999997</v>
      </c>
      <c r="P7" s="77">
        <f t="shared" ref="P7:P48" si="2">SUM(Q7:AB7)</f>
        <v>4561200000</v>
      </c>
      <c r="Q7" s="77">
        <f t="shared" ref="Q7:AB7" si="3">Q8</f>
        <v>251999999.99999997</v>
      </c>
      <c r="R7" s="77">
        <f t="shared" si="3"/>
        <v>302400000</v>
      </c>
      <c r="S7" s="77">
        <f t="shared" si="3"/>
        <v>377999999.99999994</v>
      </c>
      <c r="T7" s="77">
        <f t="shared" si="3"/>
        <v>377999999.99999994</v>
      </c>
      <c r="U7" s="77">
        <f t="shared" si="3"/>
        <v>377999999.99999994</v>
      </c>
      <c r="V7" s="77">
        <f t="shared" si="3"/>
        <v>377999999.99999994</v>
      </c>
      <c r="W7" s="77">
        <f t="shared" si="3"/>
        <v>327599999.99999994</v>
      </c>
      <c r="X7" s="77">
        <f t="shared" si="3"/>
        <v>302400000</v>
      </c>
      <c r="Y7" s="77">
        <f t="shared" si="3"/>
        <v>377999999.99999994</v>
      </c>
      <c r="Z7" s="77">
        <f t="shared" si="3"/>
        <v>428399999.99999994</v>
      </c>
      <c r="AA7" s="77">
        <f t="shared" si="3"/>
        <v>503999999.99999994</v>
      </c>
      <c r="AB7" s="77">
        <f t="shared" si="3"/>
        <v>554400000</v>
      </c>
      <c r="AC7" s="77">
        <f t="shared" ref="AC7:AC48" si="4">SUM(AD7:AO7)</f>
        <v>14742000000</v>
      </c>
      <c r="AD7" s="77">
        <f t="shared" ref="AD7:AO7" si="5">AD8</f>
        <v>629999999.99999988</v>
      </c>
      <c r="AE7" s="77">
        <f t="shared" si="5"/>
        <v>629999999.99999988</v>
      </c>
      <c r="AF7" s="77">
        <f t="shared" si="5"/>
        <v>680400000</v>
      </c>
      <c r="AG7" s="77">
        <f t="shared" si="5"/>
        <v>806400000</v>
      </c>
      <c r="AH7" s="77">
        <f t="shared" si="5"/>
        <v>881999999.99999988</v>
      </c>
      <c r="AI7" s="77">
        <f t="shared" si="5"/>
        <v>982800000</v>
      </c>
      <c r="AJ7" s="77">
        <f t="shared" si="5"/>
        <v>1184399999.9999998</v>
      </c>
      <c r="AK7" s="77">
        <f t="shared" si="5"/>
        <v>1360800000</v>
      </c>
      <c r="AL7" s="77">
        <f t="shared" si="5"/>
        <v>1562399999.9999995</v>
      </c>
      <c r="AM7" s="77">
        <f t="shared" si="5"/>
        <v>1738800000</v>
      </c>
      <c r="AN7" s="77">
        <f t="shared" si="5"/>
        <v>1990799999.9999998</v>
      </c>
      <c r="AO7" s="77">
        <f t="shared" si="5"/>
        <v>2293199999.9999995</v>
      </c>
    </row>
    <row r="8" spans="1:41" ht="17.25" hidden="1" outlineLevel="2" x14ac:dyDescent="0.3">
      <c r="A8" s="94" t="s">
        <v>142</v>
      </c>
      <c r="B8" s="95">
        <f>B10+B9</f>
        <v>1</v>
      </c>
      <c r="C8" s="96">
        <f t="shared" si="0"/>
        <v>1486800000</v>
      </c>
      <c r="D8" s="97">
        <f t="shared" ref="D8:O8" si="6">D10+D9</f>
        <v>0</v>
      </c>
      <c r="E8" s="97">
        <f t="shared" si="6"/>
        <v>0</v>
      </c>
      <c r="F8" s="97">
        <f t="shared" si="6"/>
        <v>0</v>
      </c>
      <c r="G8" s="97">
        <f t="shared" si="6"/>
        <v>0</v>
      </c>
      <c r="H8" s="97">
        <f t="shared" si="6"/>
        <v>50400000</v>
      </c>
      <c r="I8" s="97">
        <f t="shared" si="6"/>
        <v>125999999.99999999</v>
      </c>
      <c r="J8" s="97">
        <f t="shared" si="6"/>
        <v>176399999.99999997</v>
      </c>
      <c r="K8" s="97">
        <f t="shared" si="6"/>
        <v>201600000</v>
      </c>
      <c r="L8" s="97">
        <f t="shared" si="6"/>
        <v>176399999.99999997</v>
      </c>
      <c r="M8" s="97">
        <f t="shared" si="6"/>
        <v>251999999.99999997</v>
      </c>
      <c r="N8" s="97">
        <f t="shared" si="6"/>
        <v>251999999.99999997</v>
      </c>
      <c r="O8" s="97">
        <f t="shared" si="6"/>
        <v>251999999.99999997</v>
      </c>
      <c r="P8" s="96">
        <f t="shared" si="2"/>
        <v>4561200000</v>
      </c>
      <c r="Q8" s="97">
        <f t="shared" ref="Q8:AB8" si="7">Q10+Q9</f>
        <v>251999999.99999997</v>
      </c>
      <c r="R8" s="97">
        <f t="shared" si="7"/>
        <v>302400000</v>
      </c>
      <c r="S8" s="97">
        <f t="shared" si="7"/>
        <v>377999999.99999994</v>
      </c>
      <c r="T8" s="97">
        <f t="shared" si="7"/>
        <v>377999999.99999994</v>
      </c>
      <c r="U8" s="97">
        <f t="shared" si="7"/>
        <v>377999999.99999994</v>
      </c>
      <c r="V8" s="97">
        <f t="shared" si="7"/>
        <v>377999999.99999994</v>
      </c>
      <c r="W8" s="97">
        <f t="shared" si="7"/>
        <v>327599999.99999994</v>
      </c>
      <c r="X8" s="97">
        <f t="shared" si="7"/>
        <v>302400000</v>
      </c>
      <c r="Y8" s="97">
        <f t="shared" si="7"/>
        <v>377999999.99999994</v>
      </c>
      <c r="Z8" s="97">
        <f t="shared" si="7"/>
        <v>428399999.99999994</v>
      </c>
      <c r="AA8" s="97">
        <f t="shared" si="7"/>
        <v>503999999.99999994</v>
      </c>
      <c r="AB8" s="97">
        <f t="shared" si="7"/>
        <v>554400000</v>
      </c>
      <c r="AC8" s="96">
        <f t="shared" si="4"/>
        <v>14742000000</v>
      </c>
      <c r="AD8" s="97">
        <f t="shared" ref="AD8:AO8" si="8">AD10+AD9</f>
        <v>629999999.99999988</v>
      </c>
      <c r="AE8" s="97">
        <f t="shared" si="8"/>
        <v>629999999.99999988</v>
      </c>
      <c r="AF8" s="97">
        <f t="shared" si="8"/>
        <v>680400000</v>
      </c>
      <c r="AG8" s="97">
        <f t="shared" si="8"/>
        <v>806400000</v>
      </c>
      <c r="AH8" s="97">
        <f t="shared" si="8"/>
        <v>881999999.99999988</v>
      </c>
      <c r="AI8" s="97">
        <f t="shared" si="8"/>
        <v>982800000</v>
      </c>
      <c r="AJ8" s="97">
        <f t="shared" si="8"/>
        <v>1184399999.9999998</v>
      </c>
      <c r="AK8" s="97">
        <f t="shared" si="8"/>
        <v>1360800000</v>
      </c>
      <c r="AL8" s="97">
        <f t="shared" si="8"/>
        <v>1562399999.9999995</v>
      </c>
      <c r="AM8" s="97">
        <f t="shared" si="8"/>
        <v>1738800000</v>
      </c>
      <c r="AN8" s="97">
        <f t="shared" si="8"/>
        <v>1990799999.9999998</v>
      </c>
      <c r="AO8" s="97">
        <f t="shared" si="8"/>
        <v>2293199999.9999995</v>
      </c>
    </row>
    <row r="9" spans="1:41" ht="17.25" hidden="1" outlineLevel="2" x14ac:dyDescent="0.3">
      <c r="A9" s="118" t="str">
        <f>'ДАННЫЕ СПРАВОЧНЫЕ'!A3</f>
        <v>Wildberries</v>
      </c>
      <c r="B9" s="119">
        <f>C9/C8*100%</f>
        <v>0.5</v>
      </c>
      <c r="C9" s="100">
        <f t="shared" si="0"/>
        <v>743400000</v>
      </c>
      <c r="D9" s="101">
        <f>'CASH FLOW'!D10</f>
        <v>0</v>
      </c>
      <c r="E9" s="101">
        <f>'CASH FLOW'!E10</f>
        <v>0</v>
      </c>
      <c r="F9" s="101">
        <f>'CASH FLOW'!F10</f>
        <v>0</v>
      </c>
      <c r="G9" s="101">
        <f>'CASH FLOW'!G10</f>
        <v>0</v>
      </c>
      <c r="H9" s="101">
        <f>'CASH FLOW'!H10</f>
        <v>25200000</v>
      </c>
      <c r="I9" s="101">
        <f>'CASH FLOW'!I10</f>
        <v>62999999.999999993</v>
      </c>
      <c r="J9" s="101">
        <f>'CASH FLOW'!J10</f>
        <v>88199999.999999985</v>
      </c>
      <c r="K9" s="101">
        <f>'CASH FLOW'!K10</f>
        <v>100800000</v>
      </c>
      <c r="L9" s="101">
        <f>'CASH FLOW'!L10</f>
        <v>88199999.999999985</v>
      </c>
      <c r="M9" s="101">
        <f>'CASH FLOW'!M10</f>
        <v>125999999.99999999</v>
      </c>
      <c r="N9" s="101">
        <f>'CASH FLOW'!N10</f>
        <v>125999999.99999999</v>
      </c>
      <c r="O9" s="101">
        <f>'CASH FLOW'!O10</f>
        <v>125999999.99999999</v>
      </c>
      <c r="P9" s="100">
        <f t="shared" si="2"/>
        <v>2280600000</v>
      </c>
      <c r="Q9" s="101">
        <f>'CASH FLOW'!Q10</f>
        <v>125999999.99999999</v>
      </c>
      <c r="R9" s="101">
        <f>'CASH FLOW'!R10</f>
        <v>151200000</v>
      </c>
      <c r="S9" s="101">
        <f>'CASH FLOW'!S10</f>
        <v>188999999.99999997</v>
      </c>
      <c r="T9" s="101">
        <f>'CASH FLOW'!T10</f>
        <v>188999999.99999997</v>
      </c>
      <c r="U9" s="101">
        <f>'CASH FLOW'!U10</f>
        <v>188999999.99999997</v>
      </c>
      <c r="V9" s="101">
        <f>'CASH FLOW'!V10</f>
        <v>188999999.99999997</v>
      </c>
      <c r="W9" s="101">
        <f>'CASH FLOW'!W10</f>
        <v>163799999.99999997</v>
      </c>
      <c r="X9" s="101">
        <f>'CASH FLOW'!X10</f>
        <v>151200000</v>
      </c>
      <c r="Y9" s="101">
        <f>'CASH FLOW'!Y10</f>
        <v>188999999.99999997</v>
      </c>
      <c r="Z9" s="101">
        <f>'CASH FLOW'!Z10</f>
        <v>214199999.99999997</v>
      </c>
      <c r="AA9" s="101">
        <f>'CASH FLOW'!AA10</f>
        <v>251999999.99999997</v>
      </c>
      <c r="AB9" s="101">
        <f>'CASH FLOW'!AB10</f>
        <v>277200000</v>
      </c>
      <c r="AC9" s="100">
        <f t="shared" si="4"/>
        <v>7371000000</v>
      </c>
      <c r="AD9" s="101">
        <f>'CASH FLOW'!AD10</f>
        <v>314999999.99999994</v>
      </c>
      <c r="AE9" s="101">
        <f>'CASH FLOW'!AE10</f>
        <v>314999999.99999994</v>
      </c>
      <c r="AF9" s="101">
        <f>'CASH FLOW'!AF10</f>
        <v>340200000</v>
      </c>
      <c r="AG9" s="101">
        <f>'CASH FLOW'!AG10</f>
        <v>403200000</v>
      </c>
      <c r="AH9" s="101">
        <f>'CASH FLOW'!AH10</f>
        <v>440999999.99999994</v>
      </c>
      <c r="AI9" s="101">
        <f>'CASH FLOW'!AI10</f>
        <v>491400000</v>
      </c>
      <c r="AJ9" s="101">
        <f>'CASH FLOW'!AJ10</f>
        <v>592199999.99999988</v>
      </c>
      <c r="AK9" s="101">
        <f>'CASH FLOW'!AK10</f>
        <v>680400000</v>
      </c>
      <c r="AL9" s="101">
        <f>'CASH FLOW'!AL10</f>
        <v>781199999.99999976</v>
      </c>
      <c r="AM9" s="101">
        <f>'CASH FLOW'!AM10</f>
        <v>869400000</v>
      </c>
      <c r="AN9" s="101">
        <f>'CASH FLOW'!AN10</f>
        <v>995399999.99999988</v>
      </c>
      <c r="AO9" s="101">
        <f>'CASH FLOW'!AO10</f>
        <v>1146599999.9999998</v>
      </c>
    </row>
    <row r="10" spans="1:41" ht="17.25" hidden="1" outlineLevel="2" x14ac:dyDescent="0.3">
      <c r="A10" s="118" t="str">
        <f>'ДАННЫЕ СПРАВОЧНЫЕ'!A4</f>
        <v>Kaspi</v>
      </c>
      <c r="B10" s="119">
        <f>C10/C8*100%</f>
        <v>0.5</v>
      </c>
      <c r="C10" s="100">
        <f t="shared" si="0"/>
        <v>743400000</v>
      </c>
      <c r="D10" s="101">
        <f>'CASH FLOW'!D11</f>
        <v>0</v>
      </c>
      <c r="E10" s="101">
        <f>'CASH FLOW'!E11</f>
        <v>0</v>
      </c>
      <c r="F10" s="101">
        <f>'CASH FLOW'!F11</f>
        <v>0</v>
      </c>
      <c r="G10" s="101">
        <f>'CASH FLOW'!G11</f>
        <v>0</v>
      </c>
      <c r="H10" s="101">
        <f>'CASH FLOW'!H11</f>
        <v>25200000</v>
      </c>
      <c r="I10" s="101">
        <f>'CASH FLOW'!I11</f>
        <v>62999999.999999993</v>
      </c>
      <c r="J10" s="101">
        <f>'CASH FLOW'!J11</f>
        <v>88199999.999999985</v>
      </c>
      <c r="K10" s="101">
        <f>'CASH FLOW'!K11</f>
        <v>100800000</v>
      </c>
      <c r="L10" s="101">
        <f>'CASH FLOW'!L11</f>
        <v>88199999.999999985</v>
      </c>
      <c r="M10" s="101">
        <f>'CASH FLOW'!M11</f>
        <v>125999999.99999999</v>
      </c>
      <c r="N10" s="101">
        <f>'CASH FLOW'!N11</f>
        <v>125999999.99999999</v>
      </c>
      <c r="O10" s="101">
        <f>'CASH FLOW'!O11</f>
        <v>125999999.99999999</v>
      </c>
      <c r="P10" s="100">
        <f t="shared" si="2"/>
        <v>2280600000</v>
      </c>
      <c r="Q10" s="101">
        <f>'CASH FLOW'!Q11</f>
        <v>125999999.99999999</v>
      </c>
      <c r="R10" s="101">
        <f>'CASH FLOW'!R11</f>
        <v>151200000</v>
      </c>
      <c r="S10" s="101">
        <f>'CASH FLOW'!S11</f>
        <v>188999999.99999997</v>
      </c>
      <c r="T10" s="101">
        <f>'CASH FLOW'!T11</f>
        <v>188999999.99999997</v>
      </c>
      <c r="U10" s="101">
        <f>'CASH FLOW'!U11</f>
        <v>188999999.99999997</v>
      </c>
      <c r="V10" s="101">
        <f>'CASH FLOW'!V11</f>
        <v>188999999.99999997</v>
      </c>
      <c r="W10" s="101">
        <f>'CASH FLOW'!W11</f>
        <v>163799999.99999997</v>
      </c>
      <c r="X10" s="101">
        <f>'CASH FLOW'!X11</f>
        <v>151200000</v>
      </c>
      <c r="Y10" s="101">
        <f>'CASH FLOW'!Y11</f>
        <v>188999999.99999997</v>
      </c>
      <c r="Z10" s="101">
        <f>'CASH FLOW'!Z11</f>
        <v>214199999.99999997</v>
      </c>
      <c r="AA10" s="101">
        <f>'CASH FLOW'!AA11</f>
        <v>251999999.99999997</v>
      </c>
      <c r="AB10" s="101">
        <f>'CASH FLOW'!AB11</f>
        <v>277200000</v>
      </c>
      <c r="AC10" s="100">
        <f t="shared" si="4"/>
        <v>7371000000</v>
      </c>
      <c r="AD10" s="101">
        <f>'CASH FLOW'!AD11</f>
        <v>314999999.99999994</v>
      </c>
      <c r="AE10" s="101">
        <f>'CASH FLOW'!AE11</f>
        <v>314999999.99999994</v>
      </c>
      <c r="AF10" s="101">
        <f>'CASH FLOW'!AF11</f>
        <v>340200000</v>
      </c>
      <c r="AG10" s="101">
        <f>'CASH FLOW'!AG11</f>
        <v>403200000</v>
      </c>
      <c r="AH10" s="101">
        <f>'CASH FLOW'!AH11</f>
        <v>440999999.99999994</v>
      </c>
      <c r="AI10" s="101">
        <f>'CASH FLOW'!AI11</f>
        <v>491400000</v>
      </c>
      <c r="AJ10" s="101">
        <f>'CASH FLOW'!AJ11</f>
        <v>592199999.99999988</v>
      </c>
      <c r="AK10" s="101">
        <f>'CASH FLOW'!AK11</f>
        <v>680400000</v>
      </c>
      <c r="AL10" s="101">
        <f>'CASH FLOW'!AL11</f>
        <v>781199999.99999976</v>
      </c>
      <c r="AM10" s="101">
        <f>'CASH FLOW'!AM11</f>
        <v>869400000</v>
      </c>
      <c r="AN10" s="101">
        <f>'CASH FLOW'!AN11</f>
        <v>995399999.99999988</v>
      </c>
      <c r="AO10" s="101">
        <f>'CASH FLOW'!AO11</f>
        <v>1146599999.9999998</v>
      </c>
    </row>
    <row r="11" spans="1:41" ht="17.25" x14ac:dyDescent="0.3">
      <c r="A11" s="116" t="s">
        <v>143</v>
      </c>
      <c r="B11" s="120">
        <f>C11/C8*100%</f>
        <v>0.87857770079440412</v>
      </c>
      <c r="C11" s="77">
        <f t="shared" si="0"/>
        <v>1306269325.5411201</v>
      </c>
      <c r="D11" s="77">
        <f t="shared" ref="D11:O11" si="9">D12+D26+D34+D45</f>
        <v>0</v>
      </c>
      <c r="E11" s="77">
        <f t="shared" si="9"/>
        <v>0</v>
      </c>
      <c r="F11" s="77">
        <f t="shared" si="9"/>
        <v>0</v>
      </c>
      <c r="G11" s="77">
        <f t="shared" si="9"/>
        <v>6596000</v>
      </c>
      <c r="H11" s="77">
        <f t="shared" si="9"/>
        <v>51189645.125119999</v>
      </c>
      <c r="I11" s="77">
        <f t="shared" si="9"/>
        <v>108991761.44</v>
      </c>
      <c r="J11" s="77">
        <f t="shared" si="9"/>
        <v>156075066.01599997</v>
      </c>
      <c r="K11" s="77">
        <f t="shared" si="9"/>
        <v>176116718.30400002</v>
      </c>
      <c r="L11" s="77">
        <f t="shared" si="9"/>
        <v>155637566.01599997</v>
      </c>
      <c r="M11" s="77">
        <f t="shared" si="9"/>
        <v>217512522.88</v>
      </c>
      <c r="N11" s="77">
        <f t="shared" si="9"/>
        <v>217075022.88</v>
      </c>
      <c r="O11" s="77">
        <f t="shared" si="9"/>
        <v>217075022.88</v>
      </c>
      <c r="P11" s="77">
        <f t="shared" si="2"/>
        <v>3885902664.1279998</v>
      </c>
      <c r="Q11" s="77">
        <f t="shared" ref="Q11:AB11" si="10">Q12+Q26+Q34+Q45</f>
        <v>224758522.88</v>
      </c>
      <c r="R11" s="77">
        <f t="shared" si="10"/>
        <v>264191527.45600003</v>
      </c>
      <c r="S11" s="77">
        <f t="shared" si="10"/>
        <v>323997284.31999999</v>
      </c>
      <c r="T11" s="77">
        <f t="shared" si="10"/>
        <v>324434784.31999999</v>
      </c>
      <c r="U11" s="77">
        <f t="shared" si="10"/>
        <v>323997284.31999999</v>
      </c>
      <c r="V11" s="77">
        <f t="shared" si="10"/>
        <v>321747284.31999999</v>
      </c>
      <c r="W11" s="77">
        <f t="shared" si="10"/>
        <v>278439279.74399996</v>
      </c>
      <c r="X11" s="77">
        <f t="shared" si="10"/>
        <v>258504027.45600003</v>
      </c>
      <c r="Y11" s="77">
        <f t="shared" si="10"/>
        <v>320559784.31999999</v>
      </c>
      <c r="Z11" s="77">
        <f t="shared" si="10"/>
        <v>360430288.89599997</v>
      </c>
      <c r="AA11" s="77">
        <f t="shared" si="10"/>
        <v>422486045.75999999</v>
      </c>
      <c r="AB11" s="77">
        <f t="shared" si="10"/>
        <v>462356550.33600008</v>
      </c>
      <c r="AC11" s="77">
        <f t="shared" si="4"/>
        <v>12221442588.480001</v>
      </c>
      <c r="AD11" s="77">
        <f t="shared" ref="AD11:AO11" si="11">AD12+AD26+AD34+AD45</f>
        <v>529241307.19999993</v>
      </c>
      <c r="AE11" s="77">
        <f t="shared" si="11"/>
        <v>531491307.19999993</v>
      </c>
      <c r="AF11" s="77">
        <f t="shared" si="11"/>
        <v>573611811.77600002</v>
      </c>
      <c r="AG11" s="77">
        <f t="shared" si="11"/>
        <v>673288073.21600008</v>
      </c>
      <c r="AH11" s="77">
        <f t="shared" si="11"/>
        <v>737593830.07999992</v>
      </c>
      <c r="AI11" s="77">
        <f t="shared" si="11"/>
        <v>819584839.23200011</v>
      </c>
      <c r="AJ11" s="77">
        <f t="shared" si="11"/>
        <v>983566857.53599977</v>
      </c>
      <c r="AK11" s="77">
        <f t="shared" si="11"/>
        <v>1125363623.552</v>
      </c>
      <c r="AL11" s="77">
        <f t="shared" si="11"/>
        <v>1289345641.8559999</v>
      </c>
      <c r="AM11" s="77">
        <f t="shared" si="11"/>
        <v>1433392407.8720002</v>
      </c>
      <c r="AN11" s="77">
        <f t="shared" si="11"/>
        <v>1639494930.7520001</v>
      </c>
      <c r="AO11" s="77">
        <f t="shared" si="11"/>
        <v>1885467958.2079997</v>
      </c>
    </row>
    <row r="12" spans="1:41" ht="17.25" collapsed="1" x14ac:dyDescent="0.3">
      <c r="A12" s="121" t="s">
        <v>144</v>
      </c>
      <c r="B12" s="122">
        <f>C12/C8*100%</f>
        <v>0.60352651704406779</v>
      </c>
      <c r="C12" s="123">
        <f t="shared" si="0"/>
        <v>897323225.54112005</v>
      </c>
      <c r="D12" s="124">
        <f t="shared" ref="D12:O12" si="12">D16+D13</f>
        <v>0</v>
      </c>
      <c r="E12" s="124">
        <f t="shared" si="12"/>
        <v>0</v>
      </c>
      <c r="F12" s="124">
        <f t="shared" si="12"/>
        <v>0</v>
      </c>
      <c r="G12" s="124">
        <f t="shared" si="12"/>
        <v>0</v>
      </c>
      <c r="H12" s="124">
        <f t="shared" si="12"/>
        <v>33929845.125119999</v>
      </c>
      <c r="I12" s="124">
        <f t="shared" si="12"/>
        <v>75736261.439999998</v>
      </c>
      <c r="J12" s="124">
        <f t="shared" si="12"/>
        <v>106030766.01599999</v>
      </c>
      <c r="K12" s="124">
        <f t="shared" si="12"/>
        <v>121178018.30400002</v>
      </c>
      <c r="L12" s="124">
        <f t="shared" si="12"/>
        <v>106030766.01599999</v>
      </c>
      <c r="M12" s="124">
        <f t="shared" si="12"/>
        <v>151472522.88</v>
      </c>
      <c r="N12" s="124">
        <f t="shared" si="12"/>
        <v>151472522.88</v>
      </c>
      <c r="O12" s="124">
        <f t="shared" si="12"/>
        <v>151472522.88</v>
      </c>
      <c r="P12" s="123">
        <f t="shared" si="2"/>
        <v>2741652664.1279998</v>
      </c>
      <c r="Q12" s="124">
        <f t="shared" ref="Q12:AB12" si="13">Q16+Q13</f>
        <v>151472522.88</v>
      </c>
      <c r="R12" s="124">
        <f t="shared" si="13"/>
        <v>181767027.45600003</v>
      </c>
      <c r="S12" s="124">
        <f t="shared" si="13"/>
        <v>227208784.31999999</v>
      </c>
      <c r="T12" s="124">
        <f t="shared" si="13"/>
        <v>227208784.31999999</v>
      </c>
      <c r="U12" s="124">
        <f t="shared" si="13"/>
        <v>227208784.31999999</v>
      </c>
      <c r="V12" s="124">
        <f t="shared" si="13"/>
        <v>227208784.31999999</v>
      </c>
      <c r="W12" s="124">
        <f t="shared" si="13"/>
        <v>196914279.74399999</v>
      </c>
      <c r="X12" s="124">
        <f t="shared" si="13"/>
        <v>181767027.45600003</v>
      </c>
      <c r="Y12" s="124">
        <f t="shared" si="13"/>
        <v>227208784.31999999</v>
      </c>
      <c r="Z12" s="124">
        <f t="shared" si="13"/>
        <v>257503288.89599997</v>
      </c>
      <c r="AA12" s="124">
        <f t="shared" si="13"/>
        <v>302945045.75999999</v>
      </c>
      <c r="AB12" s="124">
        <f t="shared" si="13"/>
        <v>333239550.33600008</v>
      </c>
      <c r="AC12" s="123">
        <f t="shared" si="4"/>
        <v>8861142588.4799995</v>
      </c>
      <c r="AD12" s="124">
        <f t="shared" ref="AD12:AO12" si="14">AD16+AD13</f>
        <v>378681307.19999999</v>
      </c>
      <c r="AE12" s="124">
        <f t="shared" si="14"/>
        <v>378681307.19999999</v>
      </c>
      <c r="AF12" s="124">
        <f t="shared" si="14"/>
        <v>408975811.77600002</v>
      </c>
      <c r="AG12" s="124">
        <f t="shared" si="14"/>
        <v>484712073.21600008</v>
      </c>
      <c r="AH12" s="124">
        <f t="shared" si="14"/>
        <v>530153830.07999998</v>
      </c>
      <c r="AI12" s="124">
        <f t="shared" si="14"/>
        <v>590742839.23200011</v>
      </c>
      <c r="AJ12" s="124">
        <f t="shared" si="14"/>
        <v>711920857.53599989</v>
      </c>
      <c r="AK12" s="124">
        <f t="shared" si="14"/>
        <v>817951623.55200005</v>
      </c>
      <c r="AL12" s="124">
        <f t="shared" si="14"/>
        <v>939129641.85599995</v>
      </c>
      <c r="AM12" s="124">
        <f t="shared" si="14"/>
        <v>1045160407.8720001</v>
      </c>
      <c r="AN12" s="124">
        <f t="shared" si="14"/>
        <v>1196632930.7520001</v>
      </c>
      <c r="AO12" s="124">
        <f t="shared" si="14"/>
        <v>1378399958.2079999</v>
      </c>
    </row>
    <row r="13" spans="1:41" ht="17.25" hidden="1" outlineLevel="1" collapsed="1" x14ac:dyDescent="0.3">
      <c r="A13" s="125" t="s">
        <v>145</v>
      </c>
      <c r="B13" s="99">
        <f>C13/C8*100%</f>
        <v>0.5043346666666666</v>
      </c>
      <c r="C13" s="96">
        <f t="shared" si="0"/>
        <v>749844782.39999998</v>
      </c>
      <c r="D13" s="100">
        <f t="shared" ref="D13:O13" si="15">SUM(D14:D15)</f>
        <v>0</v>
      </c>
      <c r="E13" s="100">
        <f t="shared" si="15"/>
        <v>0</v>
      </c>
      <c r="F13" s="100">
        <f t="shared" si="15"/>
        <v>0</v>
      </c>
      <c r="G13" s="100">
        <f t="shared" si="15"/>
        <v>0</v>
      </c>
      <c r="H13" s="100">
        <f t="shared" si="15"/>
        <v>25418467.200000003</v>
      </c>
      <c r="I13" s="100">
        <f t="shared" si="15"/>
        <v>63546168</v>
      </c>
      <c r="J13" s="100">
        <f t="shared" si="15"/>
        <v>88964635.199999988</v>
      </c>
      <c r="K13" s="100">
        <f t="shared" si="15"/>
        <v>101673868.80000001</v>
      </c>
      <c r="L13" s="100">
        <f t="shared" si="15"/>
        <v>88964635.199999988</v>
      </c>
      <c r="M13" s="100">
        <f t="shared" si="15"/>
        <v>127092336</v>
      </c>
      <c r="N13" s="100">
        <f t="shared" si="15"/>
        <v>127092336</v>
      </c>
      <c r="O13" s="100">
        <f t="shared" si="15"/>
        <v>127092336</v>
      </c>
      <c r="P13" s="96">
        <f t="shared" si="2"/>
        <v>2300371281.6000004</v>
      </c>
      <c r="Q13" s="100">
        <f t="shared" ref="Q13:AB13" si="16">SUM(Q14:Q15)</f>
        <v>127092336</v>
      </c>
      <c r="R13" s="100">
        <f t="shared" si="16"/>
        <v>152510803.20000002</v>
      </c>
      <c r="S13" s="100">
        <f t="shared" si="16"/>
        <v>190638504</v>
      </c>
      <c r="T13" s="100">
        <f t="shared" si="16"/>
        <v>190638504</v>
      </c>
      <c r="U13" s="100">
        <f t="shared" si="16"/>
        <v>190638504</v>
      </c>
      <c r="V13" s="100">
        <f t="shared" si="16"/>
        <v>190638504</v>
      </c>
      <c r="W13" s="100">
        <f t="shared" si="16"/>
        <v>165220036.79999998</v>
      </c>
      <c r="X13" s="100">
        <f t="shared" si="16"/>
        <v>152510803.20000002</v>
      </c>
      <c r="Y13" s="100">
        <f t="shared" si="16"/>
        <v>190638504</v>
      </c>
      <c r="Z13" s="100">
        <f t="shared" si="16"/>
        <v>216056971.19999999</v>
      </c>
      <c r="AA13" s="100">
        <f t="shared" si="16"/>
        <v>254184672</v>
      </c>
      <c r="AB13" s="100">
        <f t="shared" si="16"/>
        <v>279603139.20000005</v>
      </c>
      <c r="AC13" s="96">
        <f t="shared" si="4"/>
        <v>7434901656</v>
      </c>
      <c r="AD13" s="100">
        <f t="shared" ref="AD13:AO13" si="17">SUM(AD14:AD15)</f>
        <v>317730840</v>
      </c>
      <c r="AE13" s="100">
        <f t="shared" si="17"/>
        <v>317730840</v>
      </c>
      <c r="AF13" s="100">
        <f t="shared" si="17"/>
        <v>343149307.20000005</v>
      </c>
      <c r="AG13" s="100">
        <f t="shared" si="17"/>
        <v>406695475.20000005</v>
      </c>
      <c r="AH13" s="100">
        <f t="shared" si="17"/>
        <v>444823176</v>
      </c>
      <c r="AI13" s="100">
        <f t="shared" si="17"/>
        <v>495660110.40000004</v>
      </c>
      <c r="AJ13" s="100">
        <f t="shared" si="17"/>
        <v>597333979.19999993</v>
      </c>
      <c r="AK13" s="100">
        <f t="shared" si="17"/>
        <v>686298614.4000001</v>
      </c>
      <c r="AL13" s="100">
        <f t="shared" si="17"/>
        <v>787972483.19999993</v>
      </c>
      <c r="AM13" s="100">
        <f t="shared" si="17"/>
        <v>876937118.4000001</v>
      </c>
      <c r="AN13" s="100">
        <f t="shared" si="17"/>
        <v>1004029454.4000001</v>
      </c>
      <c r="AO13" s="100">
        <f t="shared" si="17"/>
        <v>1156540257.5999999</v>
      </c>
    </row>
    <row r="14" spans="1:41" ht="17.25" hidden="1" outlineLevel="2" x14ac:dyDescent="0.3">
      <c r="A14" s="126" t="str">
        <f>ЗАКУП!A55</f>
        <v>ТОО  "////" через WB в РФ</v>
      </c>
      <c r="B14" s="127">
        <f>'КАЛЬКУЛЯЦИЯ ПАРТИИ ТОВАРОВ'!B15</f>
        <v>0.5</v>
      </c>
      <c r="C14" s="104">
        <f t="shared" si="0"/>
        <v>381736891.19999999</v>
      </c>
      <c r="D14" s="105">
        <v>0</v>
      </c>
      <c r="E14" s="105">
        <v>0</v>
      </c>
      <c r="F14" s="105">
        <v>0</v>
      </c>
      <c r="G14" s="105">
        <v>0</v>
      </c>
      <c r="H14" s="105">
        <f>ЗАКУП!H48</f>
        <v>12940233.600000001</v>
      </c>
      <c r="I14" s="105">
        <f>ЗАКУП!I48</f>
        <v>32350584</v>
      </c>
      <c r="J14" s="105">
        <f>ЗАКУП!J48</f>
        <v>45290817.599999994</v>
      </c>
      <c r="K14" s="105">
        <f>ЗАКУП!K48</f>
        <v>51760934.400000006</v>
      </c>
      <c r="L14" s="105">
        <f>ЗАКУП!L48</f>
        <v>45290817.599999994</v>
      </c>
      <c r="M14" s="105">
        <f>ЗАКУП!M48</f>
        <v>64701168</v>
      </c>
      <c r="N14" s="105">
        <f>ЗАКУП!N48</f>
        <v>64701168</v>
      </c>
      <c r="O14" s="105">
        <f>ЗАКУП!O48</f>
        <v>64701168</v>
      </c>
      <c r="P14" s="104">
        <f t="shared" si="2"/>
        <v>1171091140.8000002</v>
      </c>
      <c r="Q14" s="105">
        <f>ЗАКУП!Q48</f>
        <v>64701168</v>
      </c>
      <c r="R14" s="105">
        <f>ЗАКУП!R48</f>
        <v>77641401.600000009</v>
      </c>
      <c r="S14" s="105">
        <f>ЗАКУП!S48</f>
        <v>97051752</v>
      </c>
      <c r="T14" s="105">
        <f>ЗАКУП!T48</f>
        <v>97051752</v>
      </c>
      <c r="U14" s="105">
        <f>ЗАКУП!U48</f>
        <v>97051752</v>
      </c>
      <c r="V14" s="105">
        <f>ЗАКУП!V48</f>
        <v>97051752</v>
      </c>
      <c r="W14" s="105">
        <f>ЗАКУП!W48</f>
        <v>84111518.399999991</v>
      </c>
      <c r="X14" s="105">
        <f>ЗАКУП!X48</f>
        <v>77641401.600000009</v>
      </c>
      <c r="Y14" s="105">
        <f>ЗАКУП!Y48</f>
        <v>97051752</v>
      </c>
      <c r="Z14" s="105">
        <f>ЗАКУП!Z48</f>
        <v>109991985.59999999</v>
      </c>
      <c r="AA14" s="105">
        <f>ЗАКУП!AA48</f>
        <v>129402336</v>
      </c>
      <c r="AB14" s="105">
        <f>ЗАКУП!AB48</f>
        <v>142342569.60000002</v>
      </c>
      <c r="AC14" s="104">
        <f t="shared" si="4"/>
        <v>3785018328</v>
      </c>
      <c r="AD14" s="105">
        <f>ЗАКУП!AD48</f>
        <v>161752920</v>
      </c>
      <c r="AE14" s="105">
        <f>ЗАКУП!AE48</f>
        <v>161752920</v>
      </c>
      <c r="AF14" s="105">
        <f>ЗАКУП!AF48</f>
        <v>174693153.60000002</v>
      </c>
      <c r="AG14" s="105">
        <f>ЗАКУП!AG48</f>
        <v>207043737.60000002</v>
      </c>
      <c r="AH14" s="105">
        <f>ЗАКУП!AH48</f>
        <v>226454088</v>
      </c>
      <c r="AI14" s="105">
        <f>ЗАКУП!AI48</f>
        <v>252334555.20000002</v>
      </c>
      <c r="AJ14" s="105">
        <f>ЗАКУП!AJ48</f>
        <v>304095489.59999996</v>
      </c>
      <c r="AK14" s="105">
        <f>ЗАКУП!AK48</f>
        <v>349386307.20000005</v>
      </c>
      <c r="AL14" s="105">
        <f>ЗАКУП!AL48</f>
        <v>401147241.59999996</v>
      </c>
      <c r="AM14" s="105">
        <f>ЗАКУП!AM48</f>
        <v>446438059.20000005</v>
      </c>
      <c r="AN14" s="105">
        <f>ЗАКУП!AN48</f>
        <v>511139227.20000005</v>
      </c>
      <c r="AO14" s="105">
        <f>ЗАКУП!AO48</f>
        <v>588780628.79999995</v>
      </c>
    </row>
    <row r="15" spans="1:41" ht="17.25" hidden="1" outlineLevel="2" x14ac:dyDescent="0.3">
      <c r="A15" s="126" t="str">
        <f>ЗАКУП!A56</f>
        <v>ТОО  "////"  через Kaspi</v>
      </c>
      <c r="B15" s="127" t="e">
        <f>#REF!</f>
        <v>#REF!</v>
      </c>
      <c r="C15" s="104">
        <f t="shared" si="0"/>
        <v>368107891.19999999</v>
      </c>
      <c r="D15" s="105">
        <v>0</v>
      </c>
      <c r="E15" s="105">
        <v>0</v>
      </c>
      <c r="F15" s="105">
        <v>0</v>
      </c>
      <c r="G15" s="105">
        <v>0</v>
      </c>
      <c r="H15" s="105">
        <f>ЗАКУП!H49</f>
        <v>12478233.600000001</v>
      </c>
      <c r="I15" s="105">
        <f>ЗАКУП!I49</f>
        <v>31195584</v>
      </c>
      <c r="J15" s="105">
        <f>ЗАКУП!J49</f>
        <v>43673817.599999994</v>
      </c>
      <c r="K15" s="105">
        <f>ЗАКУП!K49</f>
        <v>49912934.400000006</v>
      </c>
      <c r="L15" s="105">
        <f>ЗАКУП!L49</f>
        <v>43673817.599999994</v>
      </c>
      <c r="M15" s="105">
        <f>ЗАКУП!M49</f>
        <v>62391168</v>
      </c>
      <c r="N15" s="105">
        <f>ЗАКУП!N49</f>
        <v>62391168</v>
      </c>
      <c r="O15" s="105">
        <f>ЗАКУП!O49</f>
        <v>62391168</v>
      </c>
      <c r="P15" s="104">
        <f t="shared" si="2"/>
        <v>1129280140.8000002</v>
      </c>
      <c r="Q15" s="105">
        <f>ЗАКУП!Q49</f>
        <v>62391168</v>
      </c>
      <c r="R15" s="105">
        <f>ЗАКУП!R49</f>
        <v>74869401.600000009</v>
      </c>
      <c r="S15" s="105">
        <f>ЗАКУП!S49</f>
        <v>93586752</v>
      </c>
      <c r="T15" s="105">
        <f>ЗАКУП!T49</f>
        <v>93586752</v>
      </c>
      <c r="U15" s="105">
        <f>ЗАКУП!U49</f>
        <v>93586752</v>
      </c>
      <c r="V15" s="105">
        <f>ЗАКУП!V49</f>
        <v>93586752</v>
      </c>
      <c r="W15" s="105">
        <f>ЗАКУП!W49</f>
        <v>81108518.399999991</v>
      </c>
      <c r="X15" s="105">
        <f>ЗАКУП!X49</f>
        <v>74869401.600000009</v>
      </c>
      <c r="Y15" s="105">
        <f>ЗАКУП!Y49</f>
        <v>93586752</v>
      </c>
      <c r="Z15" s="105">
        <f>ЗАКУП!Z49</f>
        <v>106064985.59999999</v>
      </c>
      <c r="AA15" s="105">
        <f>ЗАКУП!AA49</f>
        <v>124782336</v>
      </c>
      <c r="AB15" s="105">
        <f>ЗАКУП!AB49</f>
        <v>137260569.60000002</v>
      </c>
      <c r="AC15" s="104">
        <f t="shared" si="4"/>
        <v>3649883328</v>
      </c>
      <c r="AD15" s="105">
        <f>ЗАКУП!AD49</f>
        <v>155977920</v>
      </c>
      <c r="AE15" s="105">
        <f>ЗАКУП!AE49</f>
        <v>155977920</v>
      </c>
      <c r="AF15" s="105">
        <f>ЗАКУП!AF49</f>
        <v>168456153.60000002</v>
      </c>
      <c r="AG15" s="105">
        <f>ЗАКУП!AG49</f>
        <v>199651737.60000002</v>
      </c>
      <c r="AH15" s="105">
        <f>ЗАКУП!AH49</f>
        <v>218369088</v>
      </c>
      <c r="AI15" s="105">
        <f>ЗАКУП!AI49</f>
        <v>243325555.20000002</v>
      </c>
      <c r="AJ15" s="105">
        <f>ЗАКУП!AJ49</f>
        <v>293238489.59999996</v>
      </c>
      <c r="AK15" s="105">
        <f>ЗАКУП!AK49</f>
        <v>336912307.20000005</v>
      </c>
      <c r="AL15" s="105">
        <f>ЗАКУП!AL49</f>
        <v>386825241.59999996</v>
      </c>
      <c r="AM15" s="105">
        <f>ЗАКУП!AM49</f>
        <v>430499059.20000005</v>
      </c>
      <c r="AN15" s="105">
        <f>ЗАКУП!AN49</f>
        <v>492890227.20000005</v>
      </c>
      <c r="AO15" s="105">
        <f>ЗАКУП!AO49</f>
        <v>567759628.79999995</v>
      </c>
    </row>
    <row r="16" spans="1:41" ht="17.25" hidden="1" outlineLevel="1" collapsed="1" x14ac:dyDescent="0.3">
      <c r="A16" s="125" t="s">
        <v>146</v>
      </c>
      <c r="B16" s="99">
        <f>C16/C8*100%</f>
        <v>9.9191850377401122E-2</v>
      </c>
      <c r="C16" s="96">
        <f t="shared" si="0"/>
        <v>147478443.14111999</v>
      </c>
      <c r="D16" s="100">
        <f t="shared" ref="D16:G16" si="18">D20+D17</f>
        <v>0</v>
      </c>
      <c r="E16" s="100">
        <f t="shared" si="18"/>
        <v>0</v>
      </c>
      <c r="F16" s="100">
        <f t="shared" si="18"/>
        <v>0</v>
      </c>
      <c r="G16" s="100">
        <f t="shared" si="18"/>
        <v>0</v>
      </c>
      <c r="H16" s="100">
        <f>H20+H17+H23</f>
        <v>8511377.9251199998</v>
      </c>
      <c r="I16" s="100">
        <f t="shared" ref="I16:O16" si="19">I20+I17</f>
        <v>12190093.440000001</v>
      </c>
      <c r="J16" s="100">
        <f t="shared" si="19"/>
        <v>17066130.816</v>
      </c>
      <c r="K16" s="100">
        <f t="shared" si="19"/>
        <v>19504149.504000001</v>
      </c>
      <c r="L16" s="100">
        <f t="shared" si="19"/>
        <v>17066130.816</v>
      </c>
      <c r="M16" s="100">
        <f t="shared" si="19"/>
        <v>24380186.880000003</v>
      </c>
      <c r="N16" s="100">
        <f t="shared" si="19"/>
        <v>24380186.880000003</v>
      </c>
      <c r="O16" s="100">
        <f t="shared" si="19"/>
        <v>24380186.880000003</v>
      </c>
      <c r="P16" s="96">
        <f t="shared" si="2"/>
        <v>441281382.528</v>
      </c>
      <c r="Q16" s="100">
        <f t="shared" ref="Q16:AB16" si="20">Q20+Q17</f>
        <v>24380186.880000003</v>
      </c>
      <c r="R16" s="100">
        <f t="shared" si="20"/>
        <v>29256224.256000005</v>
      </c>
      <c r="S16" s="100">
        <f t="shared" si="20"/>
        <v>36570280.32</v>
      </c>
      <c r="T16" s="100">
        <f t="shared" si="20"/>
        <v>36570280.32</v>
      </c>
      <c r="U16" s="100">
        <f t="shared" si="20"/>
        <v>36570280.32</v>
      </c>
      <c r="V16" s="100">
        <f t="shared" si="20"/>
        <v>36570280.32</v>
      </c>
      <c r="W16" s="100">
        <f t="shared" si="20"/>
        <v>31694242.943999995</v>
      </c>
      <c r="X16" s="100">
        <f t="shared" si="20"/>
        <v>29256224.256000005</v>
      </c>
      <c r="Y16" s="100">
        <f t="shared" si="20"/>
        <v>36570280.32</v>
      </c>
      <c r="Z16" s="100">
        <f t="shared" si="20"/>
        <v>41446317.695999995</v>
      </c>
      <c r="AA16" s="100">
        <f t="shared" si="20"/>
        <v>48760373.760000005</v>
      </c>
      <c r="AB16" s="100">
        <f t="shared" si="20"/>
        <v>53636411.136000007</v>
      </c>
      <c r="AC16" s="96">
        <f t="shared" si="4"/>
        <v>1426240932.4799998</v>
      </c>
      <c r="AD16" s="100">
        <f t="shared" ref="AD16:AO16" si="21">AD20+AD17</f>
        <v>60950467.200000003</v>
      </c>
      <c r="AE16" s="100">
        <f t="shared" si="21"/>
        <v>60950467.200000003</v>
      </c>
      <c r="AF16" s="100">
        <f t="shared" si="21"/>
        <v>65826504.576000005</v>
      </c>
      <c r="AG16" s="100">
        <f t="shared" si="21"/>
        <v>78016598.016000003</v>
      </c>
      <c r="AH16" s="100">
        <f t="shared" si="21"/>
        <v>85330654.079999998</v>
      </c>
      <c r="AI16" s="100">
        <f t="shared" si="21"/>
        <v>95082728.832000017</v>
      </c>
      <c r="AJ16" s="100">
        <f t="shared" si="21"/>
        <v>114586878.336</v>
      </c>
      <c r="AK16" s="100">
        <f t="shared" si="21"/>
        <v>131653009.15200001</v>
      </c>
      <c r="AL16" s="100">
        <f t="shared" si="21"/>
        <v>151157158.65599996</v>
      </c>
      <c r="AM16" s="100">
        <f t="shared" si="21"/>
        <v>168223289.472</v>
      </c>
      <c r="AN16" s="100">
        <f t="shared" si="21"/>
        <v>192603476.352</v>
      </c>
      <c r="AO16" s="100">
        <f t="shared" si="21"/>
        <v>221859700.60799998</v>
      </c>
    </row>
    <row r="17" spans="1:41" ht="17.25" hidden="1" outlineLevel="2" x14ac:dyDescent="0.3">
      <c r="A17" s="118" t="str">
        <f>'КАЛЬКУЛЯЦИЯ ПАРТИИ ТОВАРОВ'!A6</f>
        <v>Доставка до Алматы 14000$</v>
      </c>
      <c r="B17" s="119">
        <f>C17/C8*100%</f>
        <v>5.2222222222222225E-2</v>
      </c>
      <c r="C17" s="100">
        <f t="shared" si="0"/>
        <v>77644000</v>
      </c>
      <c r="D17" s="101">
        <f t="shared" ref="D17:O17" si="22">SUM(D18:D19)</f>
        <v>0</v>
      </c>
      <c r="E17" s="101">
        <f t="shared" si="22"/>
        <v>0</v>
      </c>
      <c r="F17" s="101">
        <f t="shared" si="22"/>
        <v>0</v>
      </c>
      <c r="G17" s="101">
        <f t="shared" si="22"/>
        <v>0</v>
      </c>
      <c r="H17" s="101">
        <f t="shared" si="22"/>
        <v>2632000</v>
      </c>
      <c r="I17" s="101">
        <f t="shared" si="22"/>
        <v>6580000</v>
      </c>
      <c r="J17" s="101">
        <f t="shared" si="22"/>
        <v>9212000</v>
      </c>
      <c r="K17" s="101">
        <f t="shared" si="22"/>
        <v>10528000</v>
      </c>
      <c r="L17" s="101">
        <f t="shared" si="22"/>
        <v>9212000</v>
      </c>
      <c r="M17" s="101">
        <f t="shared" si="22"/>
        <v>13160000</v>
      </c>
      <c r="N17" s="101">
        <f t="shared" si="22"/>
        <v>13160000</v>
      </c>
      <c r="O17" s="101">
        <f t="shared" si="22"/>
        <v>13160000</v>
      </c>
      <c r="P17" s="100">
        <f t="shared" si="2"/>
        <v>238196000</v>
      </c>
      <c r="Q17" s="101">
        <f t="shared" ref="Q17:AB17" si="23">SUM(Q18:Q19)</f>
        <v>13160000</v>
      </c>
      <c r="R17" s="101">
        <f t="shared" si="23"/>
        <v>15792000.000000002</v>
      </c>
      <c r="S17" s="101">
        <f t="shared" si="23"/>
        <v>19740000</v>
      </c>
      <c r="T17" s="101">
        <f t="shared" si="23"/>
        <v>19740000</v>
      </c>
      <c r="U17" s="101">
        <f t="shared" si="23"/>
        <v>19740000</v>
      </c>
      <c r="V17" s="101">
        <f t="shared" si="23"/>
        <v>19740000</v>
      </c>
      <c r="W17" s="101">
        <f t="shared" si="23"/>
        <v>17107999.999999996</v>
      </c>
      <c r="X17" s="101">
        <f t="shared" si="23"/>
        <v>15792000.000000002</v>
      </c>
      <c r="Y17" s="101">
        <f t="shared" si="23"/>
        <v>19740000</v>
      </c>
      <c r="Z17" s="101">
        <f t="shared" si="23"/>
        <v>22372000</v>
      </c>
      <c r="AA17" s="101">
        <f t="shared" si="23"/>
        <v>26320000</v>
      </c>
      <c r="AB17" s="101">
        <f t="shared" si="23"/>
        <v>28952000.000000004</v>
      </c>
      <c r="AC17" s="100">
        <f t="shared" si="4"/>
        <v>769860000</v>
      </c>
      <c r="AD17" s="101">
        <f t="shared" ref="AD17:AO17" si="24">SUM(AD18:AD19)</f>
        <v>32900000</v>
      </c>
      <c r="AE17" s="101">
        <f t="shared" si="24"/>
        <v>32900000</v>
      </c>
      <c r="AF17" s="101">
        <f t="shared" si="24"/>
        <v>35532000</v>
      </c>
      <c r="AG17" s="101">
        <f t="shared" si="24"/>
        <v>42112000</v>
      </c>
      <c r="AH17" s="101">
        <f t="shared" si="24"/>
        <v>46060000</v>
      </c>
      <c r="AI17" s="101">
        <f t="shared" si="24"/>
        <v>51324000.000000007</v>
      </c>
      <c r="AJ17" s="101">
        <f t="shared" si="24"/>
        <v>61851999.999999993</v>
      </c>
      <c r="AK17" s="101">
        <f t="shared" si="24"/>
        <v>71064000</v>
      </c>
      <c r="AL17" s="101">
        <f t="shared" si="24"/>
        <v>81591999.999999985</v>
      </c>
      <c r="AM17" s="101">
        <f t="shared" si="24"/>
        <v>90804000</v>
      </c>
      <c r="AN17" s="101">
        <f t="shared" si="24"/>
        <v>103964000</v>
      </c>
      <c r="AO17" s="101">
        <f t="shared" si="24"/>
        <v>119756000</v>
      </c>
    </row>
    <row r="18" spans="1:41" ht="17.25" hidden="1" outlineLevel="3" x14ac:dyDescent="0.3">
      <c r="A18" s="126" t="str">
        <f t="shared" ref="A18:B18" si="25">A14</f>
        <v>ТОО  "////" через WB в РФ</v>
      </c>
      <c r="B18" s="127">
        <f t="shared" si="25"/>
        <v>0.5</v>
      </c>
      <c r="C18" s="104">
        <f t="shared" si="0"/>
        <v>38822000</v>
      </c>
      <c r="D18" s="105">
        <v>0</v>
      </c>
      <c r="E18" s="105">
        <f t="shared" ref="E18:G18" si="26">E14*17.5%</f>
        <v>0</v>
      </c>
      <c r="F18" s="105">
        <f t="shared" si="26"/>
        <v>0</v>
      </c>
      <c r="G18" s="105">
        <f t="shared" si="26"/>
        <v>0</v>
      </c>
      <c r="H18" s="105">
        <f>'КАЛЬКУЛЯЦИЯ ПАРТИИ ТОВАРОВ'!$E$6*ЗАКУП!H39</f>
        <v>1316000</v>
      </c>
      <c r="I18" s="105">
        <f>'КАЛЬКУЛЯЦИЯ ПАРТИИ ТОВАРОВ'!$E$6*ЗАКУП!I39</f>
        <v>3290000</v>
      </c>
      <c r="J18" s="105">
        <f>'КАЛЬКУЛЯЦИЯ ПАРТИИ ТОВАРОВ'!$E$6*ЗАКУП!J39</f>
        <v>4606000</v>
      </c>
      <c r="K18" s="105">
        <f>'КАЛЬКУЛЯЦИЯ ПАРТИИ ТОВАРОВ'!$E$6*ЗАКУП!K39</f>
        <v>5264000</v>
      </c>
      <c r="L18" s="105">
        <f>'КАЛЬКУЛЯЦИЯ ПАРТИИ ТОВАРОВ'!$E$6*ЗАКУП!L39</f>
        <v>4606000</v>
      </c>
      <c r="M18" s="105">
        <f>'КАЛЬКУЛЯЦИЯ ПАРТИИ ТОВАРОВ'!$E$6*ЗАКУП!M39</f>
        <v>6580000</v>
      </c>
      <c r="N18" s="105">
        <f>'КАЛЬКУЛЯЦИЯ ПАРТИИ ТОВАРОВ'!$E$6*ЗАКУП!N39</f>
        <v>6580000</v>
      </c>
      <c r="O18" s="105">
        <f>'КАЛЬКУЛЯЦИЯ ПАРТИИ ТОВАРОВ'!$E$6*ЗАКУП!O39</f>
        <v>6580000</v>
      </c>
      <c r="P18" s="104">
        <f t="shared" si="2"/>
        <v>119098000</v>
      </c>
      <c r="Q18" s="105">
        <f>'КАЛЬКУЛЯЦИЯ ПАРТИИ ТОВАРОВ'!$E$6*ЗАКУП!Q39</f>
        <v>6580000</v>
      </c>
      <c r="R18" s="105">
        <f>'КАЛЬКУЛЯЦИЯ ПАРТИИ ТОВАРОВ'!$E$6*ЗАКУП!R39</f>
        <v>7896000.0000000009</v>
      </c>
      <c r="S18" s="105">
        <f>'КАЛЬКУЛЯЦИЯ ПАРТИИ ТОВАРОВ'!$E$6*ЗАКУП!S39</f>
        <v>9870000</v>
      </c>
      <c r="T18" s="105">
        <f>'КАЛЬКУЛЯЦИЯ ПАРТИИ ТОВАРОВ'!$E$6*ЗАКУП!T39</f>
        <v>9870000</v>
      </c>
      <c r="U18" s="105">
        <f>'КАЛЬКУЛЯЦИЯ ПАРТИИ ТОВАРОВ'!$E$6*ЗАКУП!U39</f>
        <v>9870000</v>
      </c>
      <c r="V18" s="105">
        <f>'КАЛЬКУЛЯЦИЯ ПАРТИИ ТОВАРОВ'!$E$6*ЗАКУП!V39</f>
        <v>9870000</v>
      </c>
      <c r="W18" s="105">
        <f>'КАЛЬКУЛЯЦИЯ ПАРТИИ ТОВАРОВ'!$E$6*ЗАКУП!W39</f>
        <v>8553999.9999999981</v>
      </c>
      <c r="X18" s="105">
        <f>'КАЛЬКУЛЯЦИЯ ПАРТИИ ТОВАРОВ'!$E$6*ЗАКУП!X39</f>
        <v>7896000.0000000009</v>
      </c>
      <c r="Y18" s="105">
        <f>'КАЛЬКУЛЯЦИЯ ПАРТИИ ТОВАРОВ'!$E$6*ЗАКУП!Y39</f>
        <v>9870000</v>
      </c>
      <c r="Z18" s="105">
        <f>'КАЛЬКУЛЯЦИЯ ПАРТИИ ТОВАРОВ'!$E$6*ЗАКУП!Z39</f>
        <v>11186000</v>
      </c>
      <c r="AA18" s="105">
        <f>'КАЛЬКУЛЯЦИЯ ПАРТИИ ТОВАРОВ'!$E$6*ЗАКУП!AA39</f>
        <v>13160000</v>
      </c>
      <c r="AB18" s="105">
        <f>'КАЛЬКУЛЯЦИЯ ПАРТИИ ТОВАРОВ'!$E$6*ЗАКУП!AB39</f>
        <v>14476000.000000002</v>
      </c>
      <c r="AC18" s="104">
        <f t="shared" si="4"/>
        <v>384930000</v>
      </c>
      <c r="AD18" s="105">
        <f>'КАЛЬКУЛЯЦИЯ ПАРТИИ ТОВАРОВ'!$E$6*ЗАКУП!AD39</f>
        <v>16450000</v>
      </c>
      <c r="AE18" s="105">
        <f>'КАЛЬКУЛЯЦИЯ ПАРТИИ ТОВАРОВ'!$E$6*ЗАКУП!AE39</f>
        <v>16450000</v>
      </c>
      <c r="AF18" s="105">
        <f>'КАЛЬКУЛЯЦИЯ ПАРТИИ ТОВАРОВ'!$E$6*ЗАКУП!AF39</f>
        <v>17766000</v>
      </c>
      <c r="AG18" s="105">
        <f>'КАЛЬКУЛЯЦИЯ ПАРТИИ ТОВАРОВ'!$E$6*ЗАКУП!AG39</f>
        <v>21056000</v>
      </c>
      <c r="AH18" s="105">
        <f>'КАЛЬКУЛЯЦИЯ ПАРТИИ ТОВАРОВ'!$E$6*ЗАКУП!AH39</f>
        <v>23030000</v>
      </c>
      <c r="AI18" s="105">
        <f>'КАЛЬКУЛЯЦИЯ ПАРТИИ ТОВАРОВ'!$E$6*ЗАКУП!AI39</f>
        <v>25662000.000000004</v>
      </c>
      <c r="AJ18" s="105">
        <f>'КАЛЬКУЛЯЦИЯ ПАРТИИ ТОВАРОВ'!$E$6*ЗАКУП!AJ39</f>
        <v>30925999.999999996</v>
      </c>
      <c r="AK18" s="105">
        <f>'КАЛЬКУЛЯЦИЯ ПАРТИИ ТОВАРОВ'!$E$6*ЗАКУП!AK39</f>
        <v>35532000</v>
      </c>
      <c r="AL18" s="105">
        <f>'КАЛЬКУЛЯЦИЯ ПАРТИИ ТОВАРОВ'!$E$6*ЗАКУП!AL39</f>
        <v>40795999.999999993</v>
      </c>
      <c r="AM18" s="105">
        <f>'КАЛЬКУЛЯЦИЯ ПАРТИИ ТОВАРОВ'!$E$6*ЗАКУП!AM39</f>
        <v>45402000</v>
      </c>
      <c r="AN18" s="105">
        <f>'КАЛЬКУЛЯЦИЯ ПАРТИИ ТОВАРОВ'!$E$6*ЗАКУП!AN39</f>
        <v>51982000</v>
      </c>
      <c r="AO18" s="105">
        <f>'КАЛЬКУЛЯЦИЯ ПАРТИИ ТОВАРОВ'!$E$6*ЗАКУП!AO39</f>
        <v>59878000</v>
      </c>
    </row>
    <row r="19" spans="1:41" ht="17.25" hidden="1" outlineLevel="3" x14ac:dyDescent="0.3">
      <c r="A19" s="126" t="str">
        <f t="shared" ref="A19:B19" si="27">A15</f>
        <v>ТОО  "////"  через Kaspi</v>
      </c>
      <c r="B19" s="127" t="e">
        <f t="shared" si="27"/>
        <v>#REF!</v>
      </c>
      <c r="C19" s="104">
        <f t="shared" si="0"/>
        <v>38822000</v>
      </c>
      <c r="D19" s="105">
        <v>0</v>
      </c>
      <c r="E19" s="105">
        <f t="shared" ref="E19:G19" si="28">E15*17.5%</f>
        <v>0</v>
      </c>
      <c r="F19" s="105">
        <f t="shared" si="28"/>
        <v>0</v>
      </c>
      <c r="G19" s="105">
        <f t="shared" si="28"/>
        <v>0</v>
      </c>
      <c r="H19" s="105">
        <f>'КАЛЬКУЛЯЦИЯ ПАРТИИ ТОВАРОВ'!$E$6*ЗАКУП!H40</f>
        <v>1316000</v>
      </c>
      <c r="I19" s="105">
        <f>'КАЛЬКУЛЯЦИЯ ПАРТИИ ТОВАРОВ'!$E$6*ЗАКУП!I40</f>
        <v>3290000</v>
      </c>
      <c r="J19" s="105">
        <f>'КАЛЬКУЛЯЦИЯ ПАРТИИ ТОВАРОВ'!$E$6*ЗАКУП!J40</f>
        <v>4606000</v>
      </c>
      <c r="K19" s="105">
        <f>'КАЛЬКУЛЯЦИЯ ПАРТИИ ТОВАРОВ'!$E$6*ЗАКУП!K40</f>
        <v>5264000</v>
      </c>
      <c r="L19" s="105">
        <f>'КАЛЬКУЛЯЦИЯ ПАРТИИ ТОВАРОВ'!$E$6*ЗАКУП!L40</f>
        <v>4606000</v>
      </c>
      <c r="M19" s="105">
        <f>'КАЛЬКУЛЯЦИЯ ПАРТИИ ТОВАРОВ'!$E$6*ЗАКУП!M40</f>
        <v>6580000</v>
      </c>
      <c r="N19" s="105">
        <f>'КАЛЬКУЛЯЦИЯ ПАРТИИ ТОВАРОВ'!$E$6*ЗАКУП!N40</f>
        <v>6580000</v>
      </c>
      <c r="O19" s="105">
        <f>'КАЛЬКУЛЯЦИЯ ПАРТИИ ТОВАРОВ'!$E$6*ЗАКУП!O40</f>
        <v>6580000</v>
      </c>
      <c r="P19" s="104">
        <f t="shared" si="2"/>
        <v>119098000</v>
      </c>
      <c r="Q19" s="105">
        <f>'КАЛЬКУЛЯЦИЯ ПАРТИИ ТОВАРОВ'!$E$6*ЗАКУП!Q40</f>
        <v>6580000</v>
      </c>
      <c r="R19" s="105">
        <f>'КАЛЬКУЛЯЦИЯ ПАРТИИ ТОВАРОВ'!$E$6*ЗАКУП!R40</f>
        <v>7896000.0000000009</v>
      </c>
      <c r="S19" s="105">
        <f>'КАЛЬКУЛЯЦИЯ ПАРТИИ ТОВАРОВ'!$E$6*ЗАКУП!S40</f>
        <v>9870000</v>
      </c>
      <c r="T19" s="105">
        <f>'КАЛЬКУЛЯЦИЯ ПАРТИИ ТОВАРОВ'!$E$6*ЗАКУП!T40</f>
        <v>9870000</v>
      </c>
      <c r="U19" s="105">
        <f>'КАЛЬКУЛЯЦИЯ ПАРТИИ ТОВАРОВ'!$E$6*ЗАКУП!U40</f>
        <v>9870000</v>
      </c>
      <c r="V19" s="105">
        <f>'КАЛЬКУЛЯЦИЯ ПАРТИИ ТОВАРОВ'!$E$6*ЗАКУП!V40</f>
        <v>9870000</v>
      </c>
      <c r="W19" s="105">
        <f>'КАЛЬКУЛЯЦИЯ ПАРТИИ ТОВАРОВ'!$E$6*ЗАКУП!W40</f>
        <v>8553999.9999999981</v>
      </c>
      <c r="X19" s="105">
        <f>'КАЛЬКУЛЯЦИЯ ПАРТИИ ТОВАРОВ'!$E$6*ЗАКУП!X40</f>
        <v>7896000.0000000009</v>
      </c>
      <c r="Y19" s="105">
        <f>'КАЛЬКУЛЯЦИЯ ПАРТИИ ТОВАРОВ'!$E$6*ЗАКУП!Y40</f>
        <v>9870000</v>
      </c>
      <c r="Z19" s="105">
        <f>'КАЛЬКУЛЯЦИЯ ПАРТИИ ТОВАРОВ'!$E$6*ЗАКУП!Z40</f>
        <v>11186000</v>
      </c>
      <c r="AA19" s="105">
        <f>'КАЛЬКУЛЯЦИЯ ПАРТИИ ТОВАРОВ'!$E$6*ЗАКУП!AA40</f>
        <v>13160000</v>
      </c>
      <c r="AB19" s="105">
        <f>'КАЛЬКУЛЯЦИЯ ПАРТИИ ТОВАРОВ'!$E$6*ЗАКУП!AB40</f>
        <v>14476000.000000002</v>
      </c>
      <c r="AC19" s="104">
        <f t="shared" si="4"/>
        <v>384930000</v>
      </c>
      <c r="AD19" s="105">
        <f>'КАЛЬКУЛЯЦИЯ ПАРТИИ ТОВАРОВ'!$E$6*ЗАКУП!AD40</f>
        <v>16450000</v>
      </c>
      <c r="AE19" s="105">
        <f>'КАЛЬКУЛЯЦИЯ ПАРТИИ ТОВАРОВ'!$E$6*ЗАКУП!AE40</f>
        <v>16450000</v>
      </c>
      <c r="AF19" s="105">
        <f>'КАЛЬКУЛЯЦИЯ ПАРТИИ ТОВАРОВ'!$E$6*ЗАКУП!AF40</f>
        <v>17766000</v>
      </c>
      <c r="AG19" s="105">
        <f>'КАЛЬКУЛЯЦИЯ ПАРТИИ ТОВАРОВ'!$E$6*ЗАКУП!AG40</f>
        <v>21056000</v>
      </c>
      <c r="AH19" s="105">
        <f>'КАЛЬКУЛЯЦИЯ ПАРТИИ ТОВАРОВ'!$E$6*ЗАКУП!AH40</f>
        <v>23030000</v>
      </c>
      <c r="AI19" s="105">
        <f>'КАЛЬКУЛЯЦИЯ ПАРТИИ ТОВАРОВ'!$E$6*ЗАКУП!AI40</f>
        <v>25662000.000000004</v>
      </c>
      <c r="AJ19" s="105">
        <f>'КАЛЬКУЛЯЦИЯ ПАРТИИ ТОВАРОВ'!$E$6*ЗАКУП!AJ40</f>
        <v>30925999.999999996</v>
      </c>
      <c r="AK19" s="105">
        <f>'КАЛЬКУЛЯЦИЯ ПАРТИИ ТОВАРОВ'!$E$6*ЗАКУП!AK40</f>
        <v>35532000</v>
      </c>
      <c r="AL19" s="105">
        <f>'КАЛЬКУЛЯЦИЯ ПАРТИИ ТОВАРОВ'!$E$6*ЗАКУП!AL40</f>
        <v>40795999.999999993</v>
      </c>
      <c r="AM19" s="105">
        <f>'КАЛЬКУЛЯЦИЯ ПАРТИИ ТОВАРОВ'!$E$6*ЗАКУП!AM40</f>
        <v>45402000</v>
      </c>
      <c r="AN19" s="105">
        <f>'КАЛЬКУЛЯЦИЯ ПАРТИИ ТОВАРОВ'!$E$6*ЗАКУП!AN40</f>
        <v>51982000</v>
      </c>
      <c r="AO19" s="105">
        <f>'КАЛЬКУЛЯЦИЯ ПАРТИИ ТОВАРОВ'!$E$6*ЗАКУП!AO40</f>
        <v>59878000</v>
      </c>
    </row>
    <row r="20" spans="1:41" ht="17.25" hidden="1" outlineLevel="2" x14ac:dyDescent="0.3">
      <c r="A20" s="118" t="str">
        <f>'КАЛЬКУЛЯЦИЯ ПАРТИИ ТОВАРОВ'!A7</f>
        <v>Растоможка  и таможенные пошлины (8%)</v>
      </c>
      <c r="B20" s="119">
        <f>C20/C8*100%</f>
        <v>4.4524551111111116E-2</v>
      </c>
      <c r="C20" s="100">
        <f t="shared" si="0"/>
        <v>66199102.592000008</v>
      </c>
      <c r="D20" s="101">
        <f t="shared" ref="D20:O20" si="29">SUM(D21:D22)</f>
        <v>0</v>
      </c>
      <c r="E20" s="101">
        <f t="shared" si="29"/>
        <v>0</v>
      </c>
      <c r="F20" s="101">
        <f t="shared" si="29"/>
        <v>0</v>
      </c>
      <c r="G20" s="101">
        <f t="shared" si="29"/>
        <v>0</v>
      </c>
      <c r="H20" s="101">
        <f t="shared" si="29"/>
        <v>2244037.3760000002</v>
      </c>
      <c r="I20" s="101">
        <f t="shared" si="29"/>
        <v>5610093.4400000004</v>
      </c>
      <c r="J20" s="101">
        <f t="shared" si="29"/>
        <v>7854130.8159999996</v>
      </c>
      <c r="K20" s="101">
        <f t="shared" si="29"/>
        <v>8976149.5040000007</v>
      </c>
      <c r="L20" s="101">
        <f t="shared" si="29"/>
        <v>7854130.8159999996</v>
      </c>
      <c r="M20" s="101">
        <f t="shared" si="29"/>
        <v>11220186.880000001</v>
      </c>
      <c r="N20" s="101">
        <f t="shared" si="29"/>
        <v>11220186.880000001</v>
      </c>
      <c r="O20" s="101">
        <f t="shared" si="29"/>
        <v>11220186.880000001</v>
      </c>
      <c r="P20" s="100">
        <f t="shared" si="2"/>
        <v>203085382.52800003</v>
      </c>
      <c r="Q20" s="101">
        <f t="shared" ref="Q20:AB20" si="30">SUM(Q21:Q22)</f>
        <v>11220186.880000001</v>
      </c>
      <c r="R20" s="101">
        <f t="shared" si="30"/>
        <v>13464224.256000001</v>
      </c>
      <c r="S20" s="101">
        <f t="shared" si="30"/>
        <v>16830280.32</v>
      </c>
      <c r="T20" s="101">
        <f t="shared" si="30"/>
        <v>16830280.32</v>
      </c>
      <c r="U20" s="101">
        <f t="shared" si="30"/>
        <v>16830280.32</v>
      </c>
      <c r="V20" s="101">
        <f t="shared" si="30"/>
        <v>16830280.32</v>
      </c>
      <c r="W20" s="101">
        <f t="shared" si="30"/>
        <v>14586242.943999998</v>
      </c>
      <c r="X20" s="101">
        <f t="shared" si="30"/>
        <v>13464224.256000001</v>
      </c>
      <c r="Y20" s="101">
        <f t="shared" si="30"/>
        <v>16830280.32</v>
      </c>
      <c r="Z20" s="101">
        <f t="shared" si="30"/>
        <v>19074317.695999999</v>
      </c>
      <c r="AA20" s="101">
        <f t="shared" si="30"/>
        <v>22440373.760000002</v>
      </c>
      <c r="AB20" s="101">
        <f t="shared" si="30"/>
        <v>24684411.136000004</v>
      </c>
      <c r="AC20" s="100">
        <f t="shared" si="4"/>
        <v>656380932.48000014</v>
      </c>
      <c r="AD20" s="101">
        <f t="shared" ref="AD20:AO20" si="31">SUM(AD21:AD22)</f>
        <v>28050467.199999999</v>
      </c>
      <c r="AE20" s="101">
        <f t="shared" si="31"/>
        <v>28050467.199999999</v>
      </c>
      <c r="AF20" s="101">
        <f t="shared" si="31"/>
        <v>30294504.576000005</v>
      </c>
      <c r="AG20" s="101">
        <f t="shared" si="31"/>
        <v>35904598.016000003</v>
      </c>
      <c r="AH20" s="101">
        <f t="shared" si="31"/>
        <v>39270654.079999998</v>
      </c>
      <c r="AI20" s="101">
        <f t="shared" si="31"/>
        <v>43758728.83200001</v>
      </c>
      <c r="AJ20" s="101">
        <f t="shared" si="31"/>
        <v>52734878.335999995</v>
      </c>
      <c r="AK20" s="101">
        <f t="shared" si="31"/>
        <v>60589009.15200001</v>
      </c>
      <c r="AL20" s="101">
        <f t="shared" si="31"/>
        <v>69565158.655999988</v>
      </c>
      <c r="AM20" s="101">
        <f t="shared" si="31"/>
        <v>77419289.472000003</v>
      </c>
      <c r="AN20" s="101">
        <f t="shared" si="31"/>
        <v>88639476.352000013</v>
      </c>
      <c r="AO20" s="101">
        <f t="shared" si="31"/>
        <v>102103700.608</v>
      </c>
    </row>
    <row r="21" spans="1:41" ht="17.25" hidden="1" outlineLevel="3" x14ac:dyDescent="0.3">
      <c r="A21" s="126" t="str">
        <f t="shared" ref="A21:B21" si="32">A18</f>
        <v>ТОО  "////" через WB в РФ</v>
      </c>
      <c r="B21" s="127">
        <f t="shared" si="32"/>
        <v>0.5</v>
      </c>
      <c r="C21" s="104">
        <f t="shared" si="0"/>
        <v>33644711.296000004</v>
      </c>
      <c r="D21" s="105">
        <v>0</v>
      </c>
      <c r="E21" s="105">
        <v>0</v>
      </c>
      <c r="F21" s="105">
        <v>0</v>
      </c>
      <c r="G21" s="105">
        <v>0</v>
      </c>
      <c r="H21" s="105">
        <f t="shared" ref="H21:O21" si="33">(H14+H18)*8%</f>
        <v>1140498.6880000001</v>
      </c>
      <c r="I21" s="105">
        <f t="shared" si="33"/>
        <v>2851246.72</v>
      </c>
      <c r="J21" s="105">
        <f t="shared" si="33"/>
        <v>3991745.4079999998</v>
      </c>
      <c r="K21" s="105">
        <f t="shared" si="33"/>
        <v>4561994.7520000003</v>
      </c>
      <c r="L21" s="105">
        <f t="shared" si="33"/>
        <v>3991745.4079999998</v>
      </c>
      <c r="M21" s="105">
        <f t="shared" si="33"/>
        <v>5702493.4400000004</v>
      </c>
      <c r="N21" s="105">
        <f t="shared" si="33"/>
        <v>5702493.4400000004</v>
      </c>
      <c r="O21" s="105">
        <f t="shared" si="33"/>
        <v>5702493.4400000004</v>
      </c>
      <c r="P21" s="104">
        <f t="shared" si="2"/>
        <v>103215131.26400001</v>
      </c>
      <c r="Q21" s="105">
        <f t="shared" ref="Q21:AB21" si="34">(Q14+Q18)*8%</f>
        <v>5702493.4400000004</v>
      </c>
      <c r="R21" s="105">
        <f t="shared" si="34"/>
        <v>6842992.1280000005</v>
      </c>
      <c r="S21" s="105">
        <f t="shared" si="34"/>
        <v>8553740.1600000001</v>
      </c>
      <c r="T21" s="105">
        <f t="shared" si="34"/>
        <v>8553740.1600000001</v>
      </c>
      <c r="U21" s="105">
        <f t="shared" si="34"/>
        <v>8553740.1600000001</v>
      </c>
      <c r="V21" s="105">
        <f t="shared" si="34"/>
        <v>8553740.1600000001</v>
      </c>
      <c r="W21" s="105">
        <f t="shared" si="34"/>
        <v>7413241.4719999991</v>
      </c>
      <c r="X21" s="105">
        <f t="shared" si="34"/>
        <v>6842992.1280000005</v>
      </c>
      <c r="Y21" s="105">
        <f t="shared" si="34"/>
        <v>8553740.1600000001</v>
      </c>
      <c r="Z21" s="105">
        <f t="shared" si="34"/>
        <v>9694238.8479999993</v>
      </c>
      <c r="AA21" s="105">
        <f t="shared" si="34"/>
        <v>11404986.880000001</v>
      </c>
      <c r="AB21" s="105">
        <f t="shared" si="34"/>
        <v>12545485.568000002</v>
      </c>
      <c r="AC21" s="104">
        <f t="shared" si="4"/>
        <v>333595866.24000007</v>
      </c>
      <c r="AD21" s="105">
        <f t="shared" ref="AD21:AO21" si="35">(AD14+AD18)*8%</f>
        <v>14256233.6</v>
      </c>
      <c r="AE21" s="105">
        <f t="shared" si="35"/>
        <v>14256233.6</v>
      </c>
      <c r="AF21" s="105">
        <f t="shared" si="35"/>
        <v>15396732.288000003</v>
      </c>
      <c r="AG21" s="105">
        <f t="shared" si="35"/>
        <v>18247979.008000001</v>
      </c>
      <c r="AH21" s="105">
        <f t="shared" si="35"/>
        <v>19958727.039999999</v>
      </c>
      <c r="AI21" s="105">
        <f t="shared" si="35"/>
        <v>22239724.416000005</v>
      </c>
      <c r="AJ21" s="105">
        <f t="shared" si="35"/>
        <v>26801719.167999998</v>
      </c>
      <c r="AK21" s="105">
        <f t="shared" si="35"/>
        <v>30793464.576000005</v>
      </c>
      <c r="AL21" s="105">
        <f t="shared" si="35"/>
        <v>35355459.327999994</v>
      </c>
      <c r="AM21" s="105">
        <f t="shared" si="35"/>
        <v>39347204.736000001</v>
      </c>
      <c r="AN21" s="105">
        <f t="shared" si="35"/>
        <v>45049698.176000006</v>
      </c>
      <c r="AO21" s="105">
        <f t="shared" si="35"/>
        <v>51892690.303999998</v>
      </c>
    </row>
    <row r="22" spans="1:41" ht="17.25" hidden="1" outlineLevel="3" x14ac:dyDescent="0.3">
      <c r="A22" s="126" t="str">
        <f t="shared" ref="A22:B22" si="36">A19</f>
        <v>ТОО  "////"  через Kaspi</v>
      </c>
      <c r="B22" s="127" t="e">
        <f t="shared" si="36"/>
        <v>#REF!</v>
      </c>
      <c r="C22" s="104">
        <f t="shared" si="0"/>
        <v>32554391.296000004</v>
      </c>
      <c r="D22" s="105">
        <v>0</v>
      </c>
      <c r="E22" s="105">
        <f t="shared" ref="E22:G22" si="37">E15*8%</f>
        <v>0</v>
      </c>
      <c r="F22" s="105">
        <f t="shared" si="37"/>
        <v>0</v>
      </c>
      <c r="G22" s="105">
        <f t="shared" si="37"/>
        <v>0</v>
      </c>
      <c r="H22" s="105">
        <f t="shared" ref="H22:O22" si="38">(H15+H19)*8%</f>
        <v>1103538.6880000001</v>
      </c>
      <c r="I22" s="105">
        <f t="shared" si="38"/>
        <v>2758846.72</v>
      </c>
      <c r="J22" s="105">
        <f t="shared" si="38"/>
        <v>3862385.4079999998</v>
      </c>
      <c r="K22" s="105">
        <f t="shared" si="38"/>
        <v>4414154.7520000003</v>
      </c>
      <c r="L22" s="105">
        <f t="shared" si="38"/>
        <v>3862385.4079999998</v>
      </c>
      <c r="M22" s="105">
        <f t="shared" si="38"/>
        <v>5517693.4400000004</v>
      </c>
      <c r="N22" s="105">
        <f t="shared" si="38"/>
        <v>5517693.4400000004</v>
      </c>
      <c r="O22" s="105">
        <f t="shared" si="38"/>
        <v>5517693.4400000004</v>
      </c>
      <c r="P22" s="104">
        <f t="shared" si="2"/>
        <v>99870251.264000013</v>
      </c>
      <c r="Q22" s="105">
        <f t="shared" ref="Q22:AB22" si="39">(Q15+Q19)*8%</f>
        <v>5517693.4400000004</v>
      </c>
      <c r="R22" s="105">
        <f t="shared" si="39"/>
        <v>6621232.1280000005</v>
      </c>
      <c r="S22" s="105">
        <f t="shared" si="39"/>
        <v>8276540.1600000001</v>
      </c>
      <c r="T22" s="105">
        <f t="shared" si="39"/>
        <v>8276540.1600000001</v>
      </c>
      <c r="U22" s="105">
        <f t="shared" si="39"/>
        <v>8276540.1600000001</v>
      </c>
      <c r="V22" s="105">
        <f t="shared" si="39"/>
        <v>8276540.1600000001</v>
      </c>
      <c r="W22" s="105">
        <f t="shared" si="39"/>
        <v>7173001.4719999991</v>
      </c>
      <c r="X22" s="105">
        <f t="shared" si="39"/>
        <v>6621232.1280000005</v>
      </c>
      <c r="Y22" s="105">
        <f t="shared" si="39"/>
        <v>8276540.1600000001</v>
      </c>
      <c r="Z22" s="105">
        <f t="shared" si="39"/>
        <v>9380078.8479999993</v>
      </c>
      <c r="AA22" s="105">
        <f t="shared" si="39"/>
        <v>11035386.880000001</v>
      </c>
      <c r="AB22" s="105">
        <f t="shared" si="39"/>
        <v>12138925.568000002</v>
      </c>
      <c r="AC22" s="104">
        <f t="shared" si="4"/>
        <v>322785066.24000007</v>
      </c>
      <c r="AD22" s="105">
        <f t="shared" ref="AD22:AO22" si="40">(AD15+AD19)*8%</f>
        <v>13794233.6</v>
      </c>
      <c r="AE22" s="105">
        <f t="shared" si="40"/>
        <v>13794233.6</v>
      </c>
      <c r="AF22" s="105">
        <f t="shared" si="40"/>
        <v>14897772.288000003</v>
      </c>
      <c r="AG22" s="105">
        <f t="shared" si="40"/>
        <v>17656619.008000001</v>
      </c>
      <c r="AH22" s="105">
        <f t="shared" si="40"/>
        <v>19311927.039999999</v>
      </c>
      <c r="AI22" s="105">
        <f t="shared" si="40"/>
        <v>21519004.416000005</v>
      </c>
      <c r="AJ22" s="105">
        <f t="shared" si="40"/>
        <v>25933159.167999998</v>
      </c>
      <c r="AK22" s="105">
        <f t="shared" si="40"/>
        <v>29795544.576000005</v>
      </c>
      <c r="AL22" s="105">
        <f t="shared" si="40"/>
        <v>34209699.327999994</v>
      </c>
      <c r="AM22" s="105">
        <f t="shared" si="40"/>
        <v>38072084.736000001</v>
      </c>
      <c r="AN22" s="105">
        <f t="shared" si="40"/>
        <v>43589778.176000006</v>
      </c>
      <c r="AO22" s="105">
        <f t="shared" si="40"/>
        <v>50211010.303999998</v>
      </c>
    </row>
    <row r="23" spans="1:41" ht="17.25" hidden="1" outlineLevel="2" x14ac:dyDescent="0.3">
      <c r="A23" s="118" t="str">
        <f>'КАЛЬКУЛЯЦИЯ ПАРТИИ ТОВАРОВ'!A8</f>
        <v>НДС импорт РК</v>
      </c>
      <c r="B23" s="119">
        <f>C23/C8*100%</f>
        <v>7.2129772799999992E-2</v>
      </c>
      <c r="C23" s="100">
        <f t="shared" si="0"/>
        <v>107242546.19904</v>
      </c>
      <c r="D23" s="101">
        <f t="shared" ref="D23:O23" si="41">SUM(D24:D25)</f>
        <v>0</v>
      </c>
      <c r="E23" s="101">
        <f t="shared" si="41"/>
        <v>0</v>
      </c>
      <c r="F23" s="101">
        <f t="shared" si="41"/>
        <v>0</v>
      </c>
      <c r="G23" s="101">
        <f t="shared" si="41"/>
        <v>0</v>
      </c>
      <c r="H23" s="101">
        <f t="shared" si="41"/>
        <v>3635340.5491200006</v>
      </c>
      <c r="I23" s="101">
        <f t="shared" si="41"/>
        <v>9088351.3728</v>
      </c>
      <c r="J23" s="101">
        <f t="shared" si="41"/>
        <v>12723691.921919998</v>
      </c>
      <c r="K23" s="101">
        <f t="shared" si="41"/>
        <v>14541362.196480002</v>
      </c>
      <c r="L23" s="101">
        <f t="shared" si="41"/>
        <v>12723691.921919998</v>
      </c>
      <c r="M23" s="101">
        <f t="shared" si="41"/>
        <v>18176702.7456</v>
      </c>
      <c r="N23" s="101">
        <f t="shared" si="41"/>
        <v>18176702.7456</v>
      </c>
      <c r="O23" s="101">
        <f t="shared" si="41"/>
        <v>18176702.7456</v>
      </c>
      <c r="P23" s="100">
        <f t="shared" si="2"/>
        <v>328998319.69535995</v>
      </c>
      <c r="Q23" s="101">
        <f t="shared" ref="Q23:AB23" si="42">SUM(Q24:Q25)</f>
        <v>18176702.7456</v>
      </c>
      <c r="R23" s="101">
        <f t="shared" si="42"/>
        <v>21812043.294720002</v>
      </c>
      <c r="S23" s="101">
        <f t="shared" si="42"/>
        <v>27265054.118399996</v>
      </c>
      <c r="T23" s="101">
        <f t="shared" si="42"/>
        <v>27265054.118399996</v>
      </c>
      <c r="U23" s="101">
        <f t="shared" si="42"/>
        <v>27265054.118399996</v>
      </c>
      <c r="V23" s="101">
        <f t="shared" si="42"/>
        <v>27265054.118399996</v>
      </c>
      <c r="W23" s="101">
        <f t="shared" si="42"/>
        <v>23629713.569279999</v>
      </c>
      <c r="X23" s="101">
        <f t="shared" si="42"/>
        <v>21812043.294720002</v>
      </c>
      <c r="Y23" s="101">
        <f t="shared" si="42"/>
        <v>27265054.118399996</v>
      </c>
      <c r="Z23" s="101">
        <f t="shared" si="42"/>
        <v>30900394.667519998</v>
      </c>
      <c r="AA23" s="101">
        <f t="shared" si="42"/>
        <v>36353405.4912</v>
      </c>
      <c r="AB23" s="101">
        <f t="shared" si="42"/>
        <v>39988746.040320002</v>
      </c>
      <c r="AC23" s="100">
        <f t="shared" si="4"/>
        <v>1063337110.6176001</v>
      </c>
      <c r="AD23" s="101">
        <f t="shared" ref="AD23:AO23" si="43">SUM(AD24:AD25)</f>
        <v>45441756.864</v>
      </c>
      <c r="AE23" s="101">
        <f t="shared" si="43"/>
        <v>45441756.864</v>
      </c>
      <c r="AF23" s="101">
        <f t="shared" si="43"/>
        <v>49077097.413120002</v>
      </c>
      <c r="AG23" s="101">
        <f t="shared" si="43"/>
        <v>58165448.785920009</v>
      </c>
      <c r="AH23" s="101">
        <f t="shared" si="43"/>
        <v>63618459.609599993</v>
      </c>
      <c r="AI23" s="101">
        <f t="shared" si="43"/>
        <v>70889140.707840011</v>
      </c>
      <c r="AJ23" s="101">
        <f t="shared" si="43"/>
        <v>85430502.904319987</v>
      </c>
      <c r="AK23" s="101">
        <f t="shared" si="43"/>
        <v>98154194.826240003</v>
      </c>
      <c r="AL23" s="101">
        <f t="shared" si="43"/>
        <v>112695557.02271998</v>
      </c>
      <c r="AM23" s="101">
        <f t="shared" si="43"/>
        <v>125419248.94464001</v>
      </c>
      <c r="AN23" s="101">
        <f t="shared" si="43"/>
        <v>143595951.69024003</v>
      </c>
      <c r="AO23" s="101">
        <f t="shared" si="43"/>
        <v>165407994.98495999</v>
      </c>
    </row>
    <row r="24" spans="1:41" ht="17.25" hidden="1" outlineLevel="3" x14ac:dyDescent="0.3">
      <c r="A24" s="126" t="str">
        <f t="shared" ref="A24:B24" si="44">A21</f>
        <v>ТОО  "////" через WB в РФ</v>
      </c>
      <c r="B24" s="127">
        <f t="shared" si="44"/>
        <v>0.5</v>
      </c>
      <c r="C24" s="104">
        <f t="shared" si="0"/>
        <v>54504432.299520001</v>
      </c>
      <c r="D24" s="105">
        <v>0</v>
      </c>
      <c r="E24" s="105">
        <v>0</v>
      </c>
      <c r="F24" s="105">
        <v>0</v>
      </c>
      <c r="G24" s="105">
        <v>0</v>
      </c>
      <c r="H24" s="105">
        <f t="shared" ref="H24:O24" si="45">(H14+H18+H21)*12%</f>
        <v>1847607.8745600001</v>
      </c>
      <c r="I24" s="105">
        <f t="shared" si="45"/>
        <v>4619019.6864</v>
      </c>
      <c r="J24" s="105">
        <f t="shared" si="45"/>
        <v>6466627.5609599994</v>
      </c>
      <c r="K24" s="105">
        <f t="shared" si="45"/>
        <v>7390431.4982400006</v>
      </c>
      <c r="L24" s="105">
        <f t="shared" si="45"/>
        <v>6466627.5609599994</v>
      </c>
      <c r="M24" s="105">
        <f t="shared" si="45"/>
        <v>9238039.3728</v>
      </c>
      <c r="N24" s="105">
        <f t="shared" si="45"/>
        <v>9238039.3728</v>
      </c>
      <c r="O24" s="105">
        <f t="shared" si="45"/>
        <v>9238039.3728</v>
      </c>
      <c r="P24" s="104">
        <f t="shared" si="2"/>
        <v>167208512.64768001</v>
      </c>
      <c r="Q24" s="105">
        <f t="shared" ref="Q24:AB24" si="46">(Q14+Q18+Q21)*12%</f>
        <v>9238039.3728</v>
      </c>
      <c r="R24" s="105">
        <f t="shared" si="46"/>
        <v>11085647.247360002</v>
      </c>
      <c r="S24" s="105">
        <f t="shared" si="46"/>
        <v>13857059.059199998</v>
      </c>
      <c r="T24" s="105">
        <f t="shared" si="46"/>
        <v>13857059.059199998</v>
      </c>
      <c r="U24" s="105">
        <f t="shared" si="46"/>
        <v>13857059.059199998</v>
      </c>
      <c r="V24" s="105">
        <f t="shared" si="46"/>
        <v>13857059.059199998</v>
      </c>
      <c r="W24" s="105">
        <f t="shared" si="46"/>
        <v>12009451.18464</v>
      </c>
      <c r="X24" s="105">
        <f t="shared" si="46"/>
        <v>11085647.247360002</v>
      </c>
      <c r="Y24" s="105">
        <f t="shared" si="46"/>
        <v>13857059.059199998</v>
      </c>
      <c r="Z24" s="105">
        <f t="shared" si="46"/>
        <v>15704666.933759999</v>
      </c>
      <c r="AA24" s="105">
        <f t="shared" si="46"/>
        <v>18476078.7456</v>
      </c>
      <c r="AB24" s="105">
        <f t="shared" si="46"/>
        <v>20323686.620160002</v>
      </c>
      <c r="AC24" s="104">
        <f t="shared" si="4"/>
        <v>540425303.30879998</v>
      </c>
      <c r="AD24" s="105">
        <f t="shared" ref="AD24:AO24" si="47">(AD14+AD18+AD21)*12%</f>
        <v>23095098.432</v>
      </c>
      <c r="AE24" s="105">
        <f t="shared" si="47"/>
        <v>23095098.432</v>
      </c>
      <c r="AF24" s="105">
        <f t="shared" si="47"/>
        <v>24942706.306560002</v>
      </c>
      <c r="AG24" s="105">
        <f t="shared" si="47"/>
        <v>29561725.992960002</v>
      </c>
      <c r="AH24" s="105">
        <f t="shared" si="47"/>
        <v>32333137.8048</v>
      </c>
      <c r="AI24" s="105">
        <f t="shared" si="47"/>
        <v>36028353.553920008</v>
      </c>
      <c r="AJ24" s="105">
        <f t="shared" si="47"/>
        <v>43418785.052159995</v>
      </c>
      <c r="AK24" s="105">
        <f t="shared" si="47"/>
        <v>49885412.613120005</v>
      </c>
      <c r="AL24" s="105">
        <f t="shared" si="47"/>
        <v>57275844.111359991</v>
      </c>
      <c r="AM24" s="105">
        <f t="shared" si="47"/>
        <v>63742471.672320001</v>
      </c>
      <c r="AN24" s="105">
        <f t="shared" si="47"/>
        <v>72980511.045120001</v>
      </c>
      <c r="AO24" s="105">
        <f t="shared" si="47"/>
        <v>84066158.292479992</v>
      </c>
    </row>
    <row r="25" spans="1:41" ht="17.25" hidden="1" outlineLevel="3" x14ac:dyDescent="0.3">
      <c r="A25" s="126" t="str">
        <f t="shared" ref="A25:B25" si="48">A22</f>
        <v>ТОО  "////"  через Kaspi</v>
      </c>
      <c r="B25" s="127" t="e">
        <f t="shared" si="48"/>
        <v>#REF!</v>
      </c>
      <c r="C25" s="104">
        <f t="shared" si="0"/>
        <v>52738113.899519995</v>
      </c>
      <c r="D25" s="105">
        <v>0</v>
      </c>
      <c r="E25" s="105">
        <f t="shared" ref="E25:G25" si="49">E18*8%</f>
        <v>0</v>
      </c>
      <c r="F25" s="105">
        <f t="shared" si="49"/>
        <v>0</v>
      </c>
      <c r="G25" s="105">
        <f t="shared" si="49"/>
        <v>0</v>
      </c>
      <c r="H25" s="105">
        <f t="shared" ref="H25:O25" si="50">(H15+H19+H22)*12%</f>
        <v>1787732.6745600002</v>
      </c>
      <c r="I25" s="105">
        <f t="shared" si="50"/>
        <v>4469331.6864</v>
      </c>
      <c r="J25" s="105">
        <f t="shared" si="50"/>
        <v>6257064.3609599993</v>
      </c>
      <c r="K25" s="105">
        <f t="shared" si="50"/>
        <v>7150930.6982400008</v>
      </c>
      <c r="L25" s="105">
        <f t="shared" si="50"/>
        <v>6257064.3609599993</v>
      </c>
      <c r="M25" s="105">
        <f t="shared" si="50"/>
        <v>8938663.3728</v>
      </c>
      <c r="N25" s="105">
        <f t="shared" si="50"/>
        <v>8938663.3728</v>
      </c>
      <c r="O25" s="105">
        <f t="shared" si="50"/>
        <v>8938663.3728</v>
      </c>
      <c r="P25" s="104">
        <f t="shared" si="2"/>
        <v>161789807.04767999</v>
      </c>
      <c r="Q25" s="105">
        <f t="shared" ref="Q25:AB25" si="51">(Q15+Q19+Q22)*12%</f>
        <v>8938663.3728</v>
      </c>
      <c r="R25" s="105">
        <f t="shared" si="51"/>
        <v>10726396.047360001</v>
      </c>
      <c r="S25" s="105">
        <f t="shared" si="51"/>
        <v>13407995.059199998</v>
      </c>
      <c r="T25" s="105">
        <f t="shared" si="51"/>
        <v>13407995.059199998</v>
      </c>
      <c r="U25" s="105">
        <f t="shared" si="51"/>
        <v>13407995.059199998</v>
      </c>
      <c r="V25" s="105">
        <f t="shared" si="51"/>
        <v>13407995.059199998</v>
      </c>
      <c r="W25" s="105">
        <f t="shared" si="51"/>
        <v>11620262.384639999</v>
      </c>
      <c r="X25" s="105">
        <f t="shared" si="51"/>
        <v>10726396.047360001</v>
      </c>
      <c r="Y25" s="105">
        <f t="shared" si="51"/>
        <v>13407995.059199998</v>
      </c>
      <c r="Z25" s="105">
        <f t="shared" si="51"/>
        <v>15195727.733759999</v>
      </c>
      <c r="AA25" s="105">
        <f t="shared" si="51"/>
        <v>17877326.7456</v>
      </c>
      <c r="AB25" s="105">
        <f t="shared" si="51"/>
        <v>19665059.420159999</v>
      </c>
      <c r="AC25" s="104">
        <f t="shared" si="4"/>
        <v>522911807.30879998</v>
      </c>
      <c r="AD25" s="105">
        <f t="shared" ref="AD25:AO25" si="52">(AD15+AD19+AD22)*12%</f>
        <v>22346658.432</v>
      </c>
      <c r="AE25" s="105">
        <f t="shared" si="52"/>
        <v>22346658.432</v>
      </c>
      <c r="AF25" s="105">
        <f t="shared" si="52"/>
        <v>24134391.106559999</v>
      </c>
      <c r="AG25" s="105">
        <f t="shared" si="52"/>
        <v>28603722.792960003</v>
      </c>
      <c r="AH25" s="105">
        <f t="shared" si="52"/>
        <v>31285321.804799996</v>
      </c>
      <c r="AI25" s="105">
        <f t="shared" si="52"/>
        <v>34860787.153920002</v>
      </c>
      <c r="AJ25" s="105">
        <f t="shared" si="52"/>
        <v>42011717.852159992</v>
      </c>
      <c r="AK25" s="105">
        <f t="shared" si="52"/>
        <v>48268782.213119999</v>
      </c>
      <c r="AL25" s="105">
        <f t="shared" si="52"/>
        <v>55419712.911359996</v>
      </c>
      <c r="AM25" s="105">
        <f t="shared" si="52"/>
        <v>61676777.272320002</v>
      </c>
      <c r="AN25" s="105">
        <f t="shared" si="52"/>
        <v>70615440.64512001</v>
      </c>
      <c r="AO25" s="105">
        <f t="shared" si="52"/>
        <v>81341836.692479998</v>
      </c>
    </row>
    <row r="26" spans="1:41" ht="17.25" collapsed="1" x14ac:dyDescent="0.3">
      <c r="A26" s="128" t="s">
        <v>147</v>
      </c>
      <c r="B26" s="122">
        <f>C26/C7*100%</f>
        <v>0.17958333333333334</v>
      </c>
      <c r="C26" s="123">
        <f t="shared" si="0"/>
        <v>267004500</v>
      </c>
      <c r="D26" s="124">
        <f t="shared" ref="D26:O26" si="53">D27+D31</f>
        <v>0</v>
      </c>
      <c r="E26" s="124">
        <f t="shared" si="53"/>
        <v>0</v>
      </c>
      <c r="F26" s="124">
        <f t="shared" si="53"/>
        <v>0</v>
      </c>
      <c r="G26" s="124">
        <f t="shared" si="53"/>
        <v>0</v>
      </c>
      <c r="H26" s="124">
        <f t="shared" si="53"/>
        <v>9051000</v>
      </c>
      <c r="I26" s="124">
        <f t="shared" si="53"/>
        <v>22627500</v>
      </c>
      <c r="J26" s="124">
        <f t="shared" si="53"/>
        <v>31678499.999999993</v>
      </c>
      <c r="K26" s="124">
        <f t="shared" si="53"/>
        <v>36204000</v>
      </c>
      <c r="L26" s="124">
        <f t="shared" si="53"/>
        <v>31678499.999999993</v>
      </c>
      <c r="M26" s="124">
        <f t="shared" si="53"/>
        <v>45255000</v>
      </c>
      <c r="N26" s="124">
        <f t="shared" si="53"/>
        <v>45255000</v>
      </c>
      <c r="O26" s="124">
        <f t="shared" si="53"/>
        <v>45255000</v>
      </c>
      <c r="P26" s="123">
        <f t="shared" si="2"/>
        <v>890460000</v>
      </c>
      <c r="Q26" s="124">
        <f t="shared" ref="Q26:AB26" si="54">Q27+Q31</f>
        <v>50850000</v>
      </c>
      <c r="R26" s="124">
        <f t="shared" si="54"/>
        <v>59670000</v>
      </c>
      <c r="S26" s="124">
        <f t="shared" si="54"/>
        <v>72900000</v>
      </c>
      <c r="T26" s="124">
        <f t="shared" si="54"/>
        <v>72900000</v>
      </c>
      <c r="U26" s="124">
        <f t="shared" si="54"/>
        <v>72900000</v>
      </c>
      <c r="V26" s="124">
        <f t="shared" si="54"/>
        <v>70650000</v>
      </c>
      <c r="W26" s="124">
        <f t="shared" si="54"/>
        <v>64080000</v>
      </c>
      <c r="X26" s="124">
        <f t="shared" si="54"/>
        <v>59670000</v>
      </c>
      <c r="Y26" s="124">
        <f t="shared" si="54"/>
        <v>75150000</v>
      </c>
      <c r="Z26" s="124">
        <f t="shared" si="54"/>
        <v>83970000</v>
      </c>
      <c r="AA26" s="124">
        <f t="shared" si="54"/>
        <v>99450000</v>
      </c>
      <c r="AB26" s="124">
        <f t="shared" si="54"/>
        <v>108270000</v>
      </c>
      <c r="AC26" s="123">
        <f t="shared" si="4"/>
        <v>2903850000</v>
      </c>
      <c r="AD26" s="124">
        <f t="shared" ref="AD26:AO26" si="55">AD27+AD31</f>
        <v>121499999.99999997</v>
      </c>
      <c r="AE26" s="124">
        <f t="shared" si="55"/>
        <v>123749999.99999997</v>
      </c>
      <c r="AF26" s="124">
        <f t="shared" si="55"/>
        <v>134820000</v>
      </c>
      <c r="AG26" s="124">
        <f t="shared" si="55"/>
        <v>156870000</v>
      </c>
      <c r="AH26" s="124">
        <f t="shared" si="55"/>
        <v>174600000</v>
      </c>
      <c r="AI26" s="124">
        <f t="shared" si="55"/>
        <v>194490000</v>
      </c>
      <c r="AJ26" s="124">
        <f t="shared" si="55"/>
        <v>234269999.99999994</v>
      </c>
      <c r="AK26" s="124">
        <f t="shared" si="55"/>
        <v>267390000</v>
      </c>
      <c r="AL26" s="124">
        <f t="shared" si="55"/>
        <v>307169999.99999994</v>
      </c>
      <c r="AM26" s="124">
        <f t="shared" si="55"/>
        <v>342540000</v>
      </c>
      <c r="AN26" s="124">
        <f t="shared" si="55"/>
        <v>393390000</v>
      </c>
      <c r="AO26" s="124">
        <f t="shared" si="55"/>
        <v>453059999.99999988</v>
      </c>
    </row>
    <row r="27" spans="1:41" ht="17.25" hidden="1" outlineLevel="1" x14ac:dyDescent="0.3">
      <c r="A27" s="125" t="s">
        <v>148</v>
      </c>
      <c r="B27" s="99">
        <f>C27/$C$9*100%</f>
        <v>0.21916666666666668</v>
      </c>
      <c r="C27" s="129">
        <f t="shared" si="0"/>
        <v>162928500</v>
      </c>
      <c r="D27" s="100">
        <f t="shared" ref="D27:O27" si="56">D29+D28+D30</f>
        <v>0</v>
      </c>
      <c r="E27" s="100">
        <f t="shared" si="56"/>
        <v>0</v>
      </c>
      <c r="F27" s="100">
        <f t="shared" si="56"/>
        <v>0</v>
      </c>
      <c r="G27" s="100">
        <f t="shared" si="56"/>
        <v>0</v>
      </c>
      <c r="H27" s="100">
        <f t="shared" si="56"/>
        <v>5523000</v>
      </c>
      <c r="I27" s="100">
        <f t="shared" si="56"/>
        <v>13807500</v>
      </c>
      <c r="J27" s="100">
        <f t="shared" si="56"/>
        <v>19330499.999999996</v>
      </c>
      <c r="K27" s="100">
        <f t="shared" si="56"/>
        <v>22092000</v>
      </c>
      <c r="L27" s="100">
        <f t="shared" si="56"/>
        <v>19330499.999999996</v>
      </c>
      <c r="M27" s="100">
        <f t="shared" si="56"/>
        <v>27615000</v>
      </c>
      <c r="N27" s="100">
        <f t="shared" si="56"/>
        <v>27615000</v>
      </c>
      <c r="O27" s="100">
        <f t="shared" si="56"/>
        <v>27615000</v>
      </c>
      <c r="P27" s="129">
        <f t="shared" si="2"/>
        <v>571176000</v>
      </c>
      <c r="Q27" s="100">
        <f t="shared" ref="Q27:AB27" si="57">Q29+Q28+Q30</f>
        <v>33210000</v>
      </c>
      <c r="R27" s="100">
        <f t="shared" si="57"/>
        <v>38502000</v>
      </c>
      <c r="S27" s="100">
        <f t="shared" si="57"/>
        <v>46440000</v>
      </c>
      <c r="T27" s="100">
        <f t="shared" si="57"/>
        <v>46440000</v>
      </c>
      <c r="U27" s="100">
        <f t="shared" si="57"/>
        <v>46440000</v>
      </c>
      <c r="V27" s="100">
        <f t="shared" si="57"/>
        <v>44190000</v>
      </c>
      <c r="W27" s="100">
        <f t="shared" si="57"/>
        <v>41148000</v>
      </c>
      <c r="X27" s="100">
        <f t="shared" si="57"/>
        <v>38502000</v>
      </c>
      <c r="Y27" s="100">
        <f t="shared" si="57"/>
        <v>48690000</v>
      </c>
      <c r="Z27" s="100">
        <f t="shared" si="57"/>
        <v>53982000</v>
      </c>
      <c r="AA27" s="100">
        <f t="shared" si="57"/>
        <v>64170000</v>
      </c>
      <c r="AB27" s="100">
        <f t="shared" si="57"/>
        <v>69462000</v>
      </c>
      <c r="AC27" s="129">
        <f t="shared" si="4"/>
        <v>1871910000</v>
      </c>
      <c r="AD27" s="100">
        <f t="shared" ref="AD27:AO27" si="58">AD29+AD28+AD30</f>
        <v>77399999.999999985</v>
      </c>
      <c r="AE27" s="100">
        <f t="shared" si="58"/>
        <v>79649999.999999985</v>
      </c>
      <c r="AF27" s="100">
        <f t="shared" si="58"/>
        <v>87192000</v>
      </c>
      <c r="AG27" s="100">
        <f t="shared" si="58"/>
        <v>100422000</v>
      </c>
      <c r="AH27" s="100">
        <f t="shared" si="58"/>
        <v>112860000</v>
      </c>
      <c r="AI27" s="100">
        <f t="shared" si="58"/>
        <v>125694000</v>
      </c>
      <c r="AJ27" s="100">
        <f t="shared" si="58"/>
        <v>151361999.99999997</v>
      </c>
      <c r="AK27" s="100">
        <f t="shared" si="58"/>
        <v>172134000</v>
      </c>
      <c r="AL27" s="100">
        <f t="shared" si="58"/>
        <v>197801999.99999997</v>
      </c>
      <c r="AM27" s="100">
        <f t="shared" si="58"/>
        <v>220824000</v>
      </c>
      <c r="AN27" s="100">
        <f t="shared" si="58"/>
        <v>254034000</v>
      </c>
      <c r="AO27" s="100">
        <f t="shared" si="58"/>
        <v>292535999.99999994</v>
      </c>
    </row>
    <row r="28" spans="1:41" ht="17.25" hidden="1" outlineLevel="2" x14ac:dyDescent="0.3">
      <c r="A28" s="118" t="str">
        <f>'КАЛЬКУЛЯЦИЯ ПАРТИИ ТОВАРОВ'!A20</f>
        <v>Доставка до Москвы (300 тг / 3850 км)</v>
      </c>
      <c r="B28" s="119">
        <f>C28/C9*100%</f>
        <v>9.1666666666666667E-3</v>
      </c>
      <c r="C28" s="100">
        <f t="shared" si="0"/>
        <v>6814500</v>
      </c>
      <c r="D28" s="101">
        <f>'CASH FLOW'!D19</f>
        <v>0</v>
      </c>
      <c r="E28" s="101">
        <f>'CASH FLOW'!E19</f>
        <v>0</v>
      </c>
      <c r="F28" s="101">
        <f>'CASH FLOW'!F19</f>
        <v>0</v>
      </c>
      <c r="G28" s="101">
        <f>'CASH FLOW'!G19</f>
        <v>0</v>
      </c>
      <c r="H28" s="101">
        <f>'CASH FLOW'!H19</f>
        <v>231000</v>
      </c>
      <c r="I28" s="101">
        <f>'CASH FLOW'!I19</f>
        <v>577500</v>
      </c>
      <c r="J28" s="101">
        <f>'CASH FLOW'!J19</f>
        <v>808500</v>
      </c>
      <c r="K28" s="101">
        <f>'CASH FLOW'!K19</f>
        <v>924000</v>
      </c>
      <c r="L28" s="101">
        <f>'CASH FLOW'!L19</f>
        <v>808500</v>
      </c>
      <c r="M28" s="101">
        <f>'CASH FLOW'!M19</f>
        <v>1155000</v>
      </c>
      <c r="N28" s="101">
        <f>'CASH FLOW'!N19</f>
        <v>1155000</v>
      </c>
      <c r="O28" s="101">
        <f>'CASH FLOW'!O19</f>
        <v>1155000</v>
      </c>
      <c r="P28" s="100">
        <f t="shared" si="2"/>
        <v>92250000</v>
      </c>
      <c r="Q28" s="101">
        <f>'CASH FLOW'!Q19</f>
        <v>6750000</v>
      </c>
      <c r="R28" s="101">
        <f>'CASH FLOW'!R19</f>
        <v>6750000</v>
      </c>
      <c r="S28" s="101">
        <f>'CASH FLOW'!S19</f>
        <v>6750000</v>
      </c>
      <c r="T28" s="101">
        <f>'CASH FLOW'!T19</f>
        <v>6750000</v>
      </c>
      <c r="U28" s="101">
        <f>'CASH FLOW'!U19</f>
        <v>6750000</v>
      </c>
      <c r="V28" s="101">
        <f>'CASH FLOW'!V19</f>
        <v>4500000</v>
      </c>
      <c r="W28" s="101">
        <f>'CASH FLOW'!W19</f>
        <v>6750000</v>
      </c>
      <c r="X28" s="101">
        <f>'CASH FLOW'!X19</f>
        <v>6750000</v>
      </c>
      <c r="Y28" s="101">
        <f>'CASH FLOW'!Y19</f>
        <v>9000000</v>
      </c>
      <c r="Z28" s="101">
        <f>'CASH FLOW'!Z19</f>
        <v>9000000</v>
      </c>
      <c r="AA28" s="101">
        <f>'CASH FLOW'!AA19</f>
        <v>11250000</v>
      </c>
      <c r="AB28" s="101">
        <f>'CASH FLOW'!AB19</f>
        <v>11250000</v>
      </c>
      <c r="AC28" s="100">
        <f t="shared" si="4"/>
        <v>324000000</v>
      </c>
      <c r="AD28" s="101">
        <f>'CASH FLOW'!AD19</f>
        <v>11250000</v>
      </c>
      <c r="AE28" s="101">
        <f>'CASH FLOW'!AE19</f>
        <v>13500000</v>
      </c>
      <c r="AF28" s="101">
        <f>'CASH FLOW'!AF19</f>
        <v>15750000</v>
      </c>
      <c r="AG28" s="101">
        <f>'CASH FLOW'!AG19</f>
        <v>15750000</v>
      </c>
      <c r="AH28" s="101">
        <f>'CASH FLOW'!AH19</f>
        <v>20250000</v>
      </c>
      <c r="AI28" s="101">
        <f>'CASH FLOW'!AI19</f>
        <v>22500000</v>
      </c>
      <c r="AJ28" s="101">
        <f>'CASH FLOW'!AJ19</f>
        <v>27000000</v>
      </c>
      <c r="AK28" s="101">
        <f>'CASH FLOW'!AK19</f>
        <v>29250000</v>
      </c>
      <c r="AL28" s="101">
        <f>'CASH FLOW'!AL19</f>
        <v>33750000</v>
      </c>
      <c r="AM28" s="101">
        <f>'CASH FLOW'!AM19</f>
        <v>38250000</v>
      </c>
      <c r="AN28" s="101">
        <f>'CASH FLOW'!AN19</f>
        <v>45000000</v>
      </c>
      <c r="AO28" s="101">
        <f>'CASH FLOW'!AO19</f>
        <v>51750000</v>
      </c>
    </row>
    <row r="29" spans="1:41" ht="17.25" hidden="1" outlineLevel="2" x14ac:dyDescent="0.3">
      <c r="A29" s="118" t="s">
        <v>110</v>
      </c>
      <c r="B29" s="119">
        <f>C29/C9*100%</f>
        <v>0.17</v>
      </c>
      <c r="C29" s="100">
        <f t="shared" si="0"/>
        <v>126378000</v>
      </c>
      <c r="D29" s="101">
        <f>'CASH FLOW'!D20</f>
        <v>0</v>
      </c>
      <c r="E29" s="101">
        <f>'CASH FLOW'!E20</f>
        <v>0</v>
      </c>
      <c r="F29" s="101">
        <f>'CASH FLOW'!F20</f>
        <v>0</v>
      </c>
      <c r="G29" s="101">
        <f>'CASH FLOW'!G20</f>
        <v>0</v>
      </c>
      <c r="H29" s="101">
        <f>'CASH FLOW'!H20</f>
        <v>4284000</v>
      </c>
      <c r="I29" s="101">
        <f>'CASH FLOW'!I20</f>
        <v>10710000</v>
      </c>
      <c r="J29" s="101">
        <f>'CASH FLOW'!J20</f>
        <v>14993999.999999998</v>
      </c>
      <c r="K29" s="101">
        <f>'CASH FLOW'!K20</f>
        <v>17136000</v>
      </c>
      <c r="L29" s="101">
        <f>'CASH FLOW'!L20</f>
        <v>14993999.999999998</v>
      </c>
      <c r="M29" s="101">
        <f>'CASH FLOW'!M20</f>
        <v>21420000</v>
      </c>
      <c r="N29" s="101">
        <f>'CASH FLOW'!N20</f>
        <v>21420000</v>
      </c>
      <c r="O29" s="101">
        <f>'CASH FLOW'!O20</f>
        <v>21420000</v>
      </c>
      <c r="P29" s="100">
        <f t="shared" si="2"/>
        <v>387702000</v>
      </c>
      <c r="Q29" s="101">
        <f>'CASH FLOW'!Q20</f>
        <v>21420000</v>
      </c>
      <c r="R29" s="101">
        <f>'CASH FLOW'!R20</f>
        <v>25704000</v>
      </c>
      <c r="S29" s="101">
        <f>'CASH FLOW'!S20</f>
        <v>32129999.999999996</v>
      </c>
      <c r="T29" s="101">
        <f>'CASH FLOW'!T20</f>
        <v>32129999.999999996</v>
      </c>
      <c r="U29" s="101">
        <f>'CASH FLOW'!U20</f>
        <v>32129999.999999996</v>
      </c>
      <c r="V29" s="101">
        <f>'CASH FLOW'!V20</f>
        <v>32129999.999999996</v>
      </c>
      <c r="W29" s="101">
        <f>'CASH FLOW'!W20</f>
        <v>27845999.999999996</v>
      </c>
      <c r="X29" s="101">
        <f>'CASH FLOW'!X20</f>
        <v>25704000</v>
      </c>
      <c r="Y29" s="101">
        <f>'CASH FLOW'!Y20</f>
        <v>32129999.999999996</v>
      </c>
      <c r="Z29" s="101">
        <f>'CASH FLOW'!Z20</f>
        <v>36414000</v>
      </c>
      <c r="AA29" s="101">
        <f>'CASH FLOW'!AA20</f>
        <v>42840000</v>
      </c>
      <c r="AB29" s="101">
        <f>'CASH FLOW'!AB20</f>
        <v>47124000</v>
      </c>
      <c r="AC29" s="100">
        <f t="shared" si="4"/>
        <v>1253070000</v>
      </c>
      <c r="AD29" s="101">
        <f>'CASH FLOW'!AD20</f>
        <v>53549999.999999993</v>
      </c>
      <c r="AE29" s="101">
        <f>'CASH FLOW'!AE20</f>
        <v>53549999.999999993</v>
      </c>
      <c r="AF29" s="101">
        <f>'CASH FLOW'!AF20</f>
        <v>57834000.000000007</v>
      </c>
      <c r="AG29" s="101">
        <f>'CASH FLOW'!AG20</f>
        <v>68544000</v>
      </c>
      <c r="AH29" s="101">
        <f>'CASH FLOW'!AH20</f>
        <v>74970000</v>
      </c>
      <c r="AI29" s="101">
        <f>'CASH FLOW'!AI20</f>
        <v>83538000</v>
      </c>
      <c r="AJ29" s="101">
        <f>'CASH FLOW'!AJ20</f>
        <v>100673999.99999999</v>
      </c>
      <c r="AK29" s="101">
        <f>'CASH FLOW'!AK20</f>
        <v>115668000.00000001</v>
      </c>
      <c r="AL29" s="101">
        <f>'CASH FLOW'!AL20</f>
        <v>132803999.99999997</v>
      </c>
      <c r="AM29" s="101">
        <f>'CASH FLOW'!AM20</f>
        <v>147798000</v>
      </c>
      <c r="AN29" s="101">
        <f>'CASH FLOW'!AN20</f>
        <v>169218000</v>
      </c>
      <c r="AO29" s="101">
        <f>'CASH FLOW'!AO20</f>
        <v>194921999.99999997</v>
      </c>
    </row>
    <row r="30" spans="1:41" ht="17.25" hidden="1" outlineLevel="2" x14ac:dyDescent="0.3">
      <c r="A30" s="118" t="s">
        <v>149</v>
      </c>
      <c r="B30" s="119">
        <f>C30/C9*100%</f>
        <v>0.04</v>
      </c>
      <c r="C30" s="100">
        <f t="shared" si="0"/>
        <v>29736000</v>
      </c>
      <c r="D30" s="101">
        <f>'CASH FLOW'!D21</f>
        <v>0</v>
      </c>
      <c r="E30" s="101">
        <f>'CASH FLOW'!E21</f>
        <v>0</v>
      </c>
      <c r="F30" s="101">
        <f>'CASH FLOW'!F21</f>
        <v>0</v>
      </c>
      <c r="G30" s="101">
        <f>'CASH FLOW'!G21</f>
        <v>0</v>
      </c>
      <c r="H30" s="101">
        <f>'CASH FLOW'!H21</f>
        <v>1008000</v>
      </c>
      <c r="I30" s="101">
        <f>'CASH FLOW'!I21</f>
        <v>2519999.9999999995</v>
      </c>
      <c r="J30" s="101">
        <f>'CASH FLOW'!J21</f>
        <v>3527999.9999999995</v>
      </c>
      <c r="K30" s="101">
        <f>'CASH FLOW'!K21</f>
        <v>4032000</v>
      </c>
      <c r="L30" s="101">
        <f>'CASH FLOW'!L21</f>
        <v>3527999.9999999995</v>
      </c>
      <c r="M30" s="101">
        <f>'CASH FLOW'!M21</f>
        <v>5039999.9999999991</v>
      </c>
      <c r="N30" s="101">
        <f>'CASH FLOW'!N21</f>
        <v>5039999.9999999991</v>
      </c>
      <c r="O30" s="101">
        <f>'CASH FLOW'!O21</f>
        <v>5039999.9999999991</v>
      </c>
      <c r="P30" s="100">
        <f t="shared" si="2"/>
        <v>91224000</v>
      </c>
      <c r="Q30" s="101">
        <f>'CASH FLOW'!Q21</f>
        <v>5039999.9999999991</v>
      </c>
      <c r="R30" s="101">
        <f>'CASH FLOW'!R21</f>
        <v>6048000</v>
      </c>
      <c r="S30" s="101">
        <f>'CASH FLOW'!S21</f>
        <v>7559999.9999999991</v>
      </c>
      <c r="T30" s="101">
        <f>'CASH FLOW'!T21</f>
        <v>7559999.9999999991</v>
      </c>
      <c r="U30" s="101">
        <f>'CASH FLOW'!U21</f>
        <v>7559999.9999999991</v>
      </c>
      <c r="V30" s="101">
        <f>'CASH FLOW'!V21</f>
        <v>7559999.9999999991</v>
      </c>
      <c r="W30" s="101">
        <f>'CASH FLOW'!W21</f>
        <v>6551999.9999999991</v>
      </c>
      <c r="X30" s="101">
        <f>'CASH FLOW'!X21</f>
        <v>6048000</v>
      </c>
      <c r="Y30" s="101">
        <f>'CASH FLOW'!Y21</f>
        <v>7559999.9999999991</v>
      </c>
      <c r="Z30" s="101">
        <f>'CASH FLOW'!Z21</f>
        <v>8567999.9999999981</v>
      </c>
      <c r="AA30" s="101">
        <f>'CASH FLOW'!AA21</f>
        <v>10079999.999999998</v>
      </c>
      <c r="AB30" s="101">
        <f>'CASH FLOW'!AB21</f>
        <v>11088000</v>
      </c>
      <c r="AC30" s="100">
        <f t="shared" si="4"/>
        <v>294840000</v>
      </c>
      <c r="AD30" s="101">
        <f>'CASH FLOW'!AD21</f>
        <v>12599999.999999998</v>
      </c>
      <c r="AE30" s="101">
        <f>'CASH FLOW'!AE21</f>
        <v>12599999.999999998</v>
      </c>
      <c r="AF30" s="101">
        <f>'CASH FLOW'!AF21</f>
        <v>13608000</v>
      </c>
      <c r="AG30" s="101">
        <f>'CASH FLOW'!AG21</f>
        <v>16128000</v>
      </c>
      <c r="AH30" s="101">
        <f>'CASH FLOW'!AH21</f>
        <v>17639999.999999996</v>
      </c>
      <c r="AI30" s="101">
        <f>'CASH FLOW'!AI21</f>
        <v>19656000</v>
      </c>
      <c r="AJ30" s="101">
        <f>'CASH FLOW'!AJ21</f>
        <v>23687999.999999996</v>
      </c>
      <c r="AK30" s="101">
        <f>'CASH FLOW'!AK21</f>
        <v>27216000</v>
      </c>
      <c r="AL30" s="101">
        <f>'CASH FLOW'!AL21</f>
        <v>31247999.999999993</v>
      </c>
      <c r="AM30" s="101">
        <f>'CASH FLOW'!AM21</f>
        <v>34776000</v>
      </c>
      <c r="AN30" s="101">
        <f>'CASH FLOW'!AN21</f>
        <v>39815999.999999993</v>
      </c>
      <c r="AO30" s="101">
        <f>'CASH FLOW'!AO21</f>
        <v>45863999.999999993</v>
      </c>
    </row>
    <row r="31" spans="1:41" ht="17.25" hidden="1" outlineLevel="1" x14ac:dyDescent="0.3">
      <c r="A31" s="125" t="s">
        <v>150</v>
      </c>
      <c r="B31" s="99">
        <f>C31/C8*100%</f>
        <v>7.0000000000000007E-2</v>
      </c>
      <c r="C31" s="129">
        <f t="shared" si="0"/>
        <v>104076000</v>
      </c>
      <c r="D31" s="100">
        <f t="shared" ref="D31:O31" si="59">D33+D32</f>
        <v>0</v>
      </c>
      <c r="E31" s="100">
        <f t="shared" si="59"/>
        <v>0</v>
      </c>
      <c r="F31" s="100">
        <f t="shared" si="59"/>
        <v>0</v>
      </c>
      <c r="G31" s="100">
        <f t="shared" si="59"/>
        <v>0</v>
      </c>
      <c r="H31" s="100">
        <f t="shared" si="59"/>
        <v>3528000</v>
      </c>
      <c r="I31" s="100">
        <f t="shared" si="59"/>
        <v>8819999.9999999981</v>
      </c>
      <c r="J31" s="100">
        <f t="shared" si="59"/>
        <v>12347999.999999998</v>
      </c>
      <c r="K31" s="100">
        <f t="shared" si="59"/>
        <v>14112000</v>
      </c>
      <c r="L31" s="100">
        <f t="shared" si="59"/>
        <v>12347999.999999998</v>
      </c>
      <c r="M31" s="100">
        <f t="shared" si="59"/>
        <v>17639999.999999996</v>
      </c>
      <c r="N31" s="100">
        <f t="shared" si="59"/>
        <v>17639999.999999996</v>
      </c>
      <c r="O31" s="100">
        <f t="shared" si="59"/>
        <v>17639999.999999996</v>
      </c>
      <c r="P31" s="129">
        <f t="shared" si="2"/>
        <v>319284000</v>
      </c>
      <c r="Q31" s="100">
        <f t="shared" ref="Q31:AB31" si="60">Q33+Q32</f>
        <v>17639999.999999996</v>
      </c>
      <c r="R31" s="100">
        <f t="shared" si="60"/>
        <v>21168000</v>
      </c>
      <c r="S31" s="100">
        <f t="shared" si="60"/>
        <v>26459999.999999996</v>
      </c>
      <c r="T31" s="100">
        <f t="shared" si="60"/>
        <v>26459999.999999996</v>
      </c>
      <c r="U31" s="100">
        <f t="shared" si="60"/>
        <v>26459999.999999996</v>
      </c>
      <c r="V31" s="100">
        <f t="shared" si="60"/>
        <v>26459999.999999996</v>
      </c>
      <c r="W31" s="100">
        <f t="shared" si="60"/>
        <v>22931999.999999996</v>
      </c>
      <c r="X31" s="100">
        <f t="shared" si="60"/>
        <v>21168000</v>
      </c>
      <c r="Y31" s="100">
        <f t="shared" si="60"/>
        <v>26459999.999999996</v>
      </c>
      <c r="Z31" s="100">
        <f t="shared" si="60"/>
        <v>29987999.999999996</v>
      </c>
      <c r="AA31" s="100">
        <f t="shared" si="60"/>
        <v>35279999.999999993</v>
      </c>
      <c r="AB31" s="100">
        <f t="shared" si="60"/>
        <v>38808000</v>
      </c>
      <c r="AC31" s="129">
        <f t="shared" si="4"/>
        <v>1031940000</v>
      </c>
      <c r="AD31" s="100">
        <f t="shared" ref="AD31:AO31" si="61">AD33+AD32</f>
        <v>44099999.999999993</v>
      </c>
      <c r="AE31" s="100">
        <f t="shared" si="61"/>
        <v>44099999.999999993</v>
      </c>
      <c r="AF31" s="100">
        <f t="shared" si="61"/>
        <v>47628000</v>
      </c>
      <c r="AG31" s="100">
        <f t="shared" si="61"/>
        <v>56448000</v>
      </c>
      <c r="AH31" s="100">
        <f t="shared" si="61"/>
        <v>61739999.999999993</v>
      </c>
      <c r="AI31" s="100">
        <f t="shared" si="61"/>
        <v>68796000</v>
      </c>
      <c r="AJ31" s="100">
        <f t="shared" si="61"/>
        <v>82907999.999999985</v>
      </c>
      <c r="AK31" s="100">
        <f t="shared" si="61"/>
        <v>95256000</v>
      </c>
      <c r="AL31" s="100">
        <f t="shared" si="61"/>
        <v>109367999.99999997</v>
      </c>
      <c r="AM31" s="100">
        <f t="shared" si="61"/>
        <v>121716000</v>
      </c>
      <c r="AN31" s="100">
        <f t="shared" si="61"/>
        <v>139355999.99999997</v>
      </c>
      <c r="AO31" s="100">
        <f t="shared" si="61"/>
        <v>160523999.99999997</v>
      </c>
    </row>
    <row r="32" spans="1:41" ht="17.25" hidden="1" outlineLevel="2" x14ac:dyDescent="0.3">
      <c r="A32" s="118" t="s">
        <v>151</v>
      </c>
      <c r="B32" s="127">
        <f>C32/C8*100%</f>
        <v>0.06</v>
      </c>
      <c r="C32" s="100">
        <f t="shared" si="0"/>
        <v>89208000</v>
      </c>
      <c r="D32" s="101">
        <f>'CASH FLOW'!D23</f>
        <v>0</v>
      </c>
      <c r="E32" s="101">
        <f>'CASH FLOW'!E23</f>
        <v>0</v>
      </c>
      <c r="F32" s="101">
        <f>'CASH FLOW'!F23</f>
        <v>0</v>
      </c>
      <c r="G32" s="101">
        <f>'CASH FLOW'!G23</f>
        <v>0</v>
      </c>
      <c r="H32" s="101">
        <f>'CASH FLOW'!H23</f>
        <v>3024000</v>
      </c>
      <c r="I32" s="101">
        <f>'CASH FLOW'!I23</f>
        <v>7559999.9999999991</v>
      </c>
      <c r="J32" s="101">
        <f>'CASH FLOW'!J23</f>
        <v>10583999.999999998</v>
      </c>
      <c r="K32" s="101">
        <f>'CASH FLOW'!K23</f>
        <v>12096000</v>
      </c>
      <c r="L32" s="101">
        <f>'CASH FLOW'!L23</f>
        <v>10583999.999999998</v>
      </c>
      <c r="M32" s="101">
        <f>'CASH FLOW'!M23</f>
        <v>15119999.999999998</v>
      </c>
      <c r="N32" s="101">
        <f>'CASH FLOW'!N23</f>
        <v>15119999.999999998</v>
      </c>
      <c r="O32" s="101">
        <f>'CASH FLOW'!O23</f>
        <v>15119999.999999998</v>
      </c>
      <c r="P32" s="100">
        <f t="shared" si="2"/>
        <v>273672000</v>
      </c>
      <c r="Q32" s="101">
        <f>'CASH FLOW'!Q23</f>
        <v>15119999.999999998</v>
      </c>
      <c r="R32" s="101">
        <f>'CASH FLOW'!R23</f>
        <v>18144000</v>
      </c>
      <c r="S32" s="101">
        <f>'CASH FLOW'!S23</f>
        <v>22679999.999999996</v>
      </c>
      <c r="T32" s="101">
        <f>'CASH FLOW'!T23</f>
        <v>22679999.999999996</v>
      </c>
      <c r="U32" s="101">
        <f>'CASH FLOW'!U23</f>
        <v>22679999.999999996</v>
      </c>
      <c r="V32" s="101">
        <f>'CASH FLOW'!V23</f>
        <v>22679999.999999996</v>
      </c>
      <c r="W32" s="101">
        <f>'CASH FLOW'!W23</f>
        <v>19655999.999999996</v>
      </c>
      <c r="X32" s="101">
        <f>'CASH FLOW'!X23</f>
        <v>18144000</v>
      </c>
      <c r="Y32" s="101">
        <f>'CASH FLOW'!Y23</f>
        <v>22679999.999999996</v>
      </c>
      <c r="Z32" s="101">
        <f>'CASH FLOW'!Z23</f>
        <v>25703999.999999996</v>
      </c>
      <c r="AA32" s="101">
        <f>'CASH FLOW'!AA23</f>
        <v>30239999.999999996</v>
      </c>
      <c r="AB32" s="101">
        <f>'CASH FLOW'!AB23</f>
        <v>33264000</v>
      </c>
      <c r="AC32" s="100">
        <f t="shared" si="4"/>
        <v>884520000</v>
      </c>
      <c r="AD32" s="101">
        <f>'CASH FLOW'!AD23</f>
        <v>37799999.999999993</v>
      </c>
      <c r="AE32" s="101">
        <f>'CASH FLOW'!AE23</f>
        <v>37799999.999999993</v>
      </c>
      <c r="AF32" s="101">
        <f>'CASH FLOW'!AF23</f>
        <v>40824000</v>
      </c>
      <c r="AG32" s="101">
        <f>'CASH FLOW'!AG23</f>
        <v>48384000</v>
      </c>
      <c r="AH32" s="101">
        <f>'CASH FLOW'!AH23</f>
        <v>52919999.999999993</v>
      </c>
      <c r="AI32" s="101">
        <f>'CASH FLOW'!AI23</f>
        <v>58968000</v>
      </c>
      <c r="AJ32" s="101">
        <f>'CASH FLOW'!AJ23</f>
        <v>71063999.999999985</v>
      </c>
      <c r="AK32" s="101">
        <f>'CASH FLOW'!AK23</f>
        <v>81648000</v>
      </c>
      <c r="AL32" s="101">
        <f>'CASH FLOW'!AL23</f>
        <v>93743999.99999997</v>
      </c>
      <c r="AM32" s="101">
        <f>'CASH FLOW'!AM23</f>
        <v>104328000</v>
      </c>
      <c r="AN32" s="101">
        <f>'CASH FLOW'!AN23</f>
        <v>119447999.99999999</v>
      </c>
      <c r="AO32" s="101">
        <f>'CASH FLOW'!AO23</f>
        <v>137591999.99999997</v>
      </c>
    </row>
    <row r="33" spans="1:41" ht="17.25" hidden="1" outlineLevel="2" x14ac:dyDescent="0.3">
      <c r="A33" s="118" t="s">
        <v>114</v>
      </c>
      <c r="B33" s="127">
        <f>C33/C8*100%</f>
        <v>0.01</v>
      </c>
      <c r="C33" s="100">
        <f t="shared" si="0"/>
        <v>14868000</v>
      </c>
      <c r="D33" s="101">
        <f>'CASH FLOW'!D24</f>
        <v>0</v>
      </c>
      <c r="E33" s="101">
        <f>'CASH FLOW'!E24</f>
        <v>0</v>
      </c>
      <c r="F33" s="101">
        <f>'CASH FLOW'!F24</f>
        <v>0</v>
      </c>
      <c r="G33" s="101">
        <f>'CASH FLOW'!G24</f>
        <v>0</v>
      </c>
      <c r="H33" s="101">
        <f>'CASH FLOW'!H24</f>
        <v>504000</v>
      </c>
      <c r="I33" s="101">
        <f>'CASH FLOW'!I24</f>
        <v>1259999.9999999998</v>
      </c>
      <c r="J33" s="101">
        <f>'CASH FLOW'!J24</f>
        <v>1763999.9999999998</v>
      </c>
      <c r="K33" s="101">
        <f>'CASH FLOW'!K24</f>
        <v>2016000</v>
      </c>
      <c r="L33" s="101">
        <f>'CASH FLOW'!L24</f>
        <v>1763999.9999999998</v>
      </c>
      <c r="M33" s="101">
        <f>'CASH FLOW'!M24</f>
        <v>2519999.9999999995</v>
      </c>
      <c r="N33" s="101">
        <f>'CASH FLOW'!N24</f>
        <v>2519999.9999999995</v>
      </c>
      <c r="O33" s="101">
        <f>'CASH FLOW'!O24</f>
        <v>2519999.9999999995</v>
      </c>
      <c r="P33" s="100">
        <f t="shared" si="2"/>
        <v>45612000</v>
      </c>
      <c r="Q33" s="101">
        <f>'CASH FLOW'!Q24</f>
        <v>2519999.9999999995</v>
      </c>
      <c r="R33" s="101">
        <f>'CASH FLOW'!R24</f>
        <v>3024000</v>
      </c>
      <c r="S33" s="101">
        <f>'CASH FLOW'!S24</f>
        <v>3779999.9999999995</v>
      </c>
      <c r="T33" s="101">
        <f>'CASH FLOW'!T24</f>
        <v>3779999.9999999995</v>
      </c>
      <c r="U33" s="101">
        <f>'CASH FLOW'!U24</f>
        <v>3779999.9999999995</v>
      </c>
      <c r="V33" s="101">
        <f>'CASH FLOW'!V24</f>
        <v>3779999.9999999995</v>
      </c>
      <c r="W33" s="101">
        <f>'CASH FLOW'!W24</f>
        <v>3275999.9999999995</v>
      </c>
      <c r="X33" s="101">
        <f>'CASH FLOW'!X24</f>
        <v>3024000</v>
      </c>
      <c r="Y33" s="101">
        <f>'CASH FLOW'!Y24</f>
        <v>3779999.9999999995</v>
      </c>
      <c r="Z33" s="101">
        <f>'CASH FLOW'!Z24</f>
        <v>4283999.9999999991</v>
      </c>
      <c r="AA33" s="101">
        <f>'CASH FLOW'!AA24</f>
        <v>5039999.9999999991</v>
      </c>
      <c r="AB33" s="101">
        <f>'CASH FLOW'!AB24</f>
        <v>5544000</v>
      </c>
      <c r="AC33" s="100">
        <f t="shared" si="4"/>
        <v>147420000</v>
      </c>
      <c r="AD33" s="101">
        <f>'CASH FLOW'!AD24</f>
        <v>6299999.9999999991</v>
      </c>
      <c r="AE33" s="101">
        <f>'CASH FLOW'!AE24</f>
        <v>6299999.9999999991</v>
      </c>
      <c r="AF33" s="101">
        <f>'CASH FLOW'!AF24</f>
        <v>6804000</v>
      </c>
      <c r="AG33" s="101">
        <f>'CASH FLOW'!AG24</f>
        <v>8064000</v>
      </c>
      <c r="AH33" s="101">
        <f>'CASH FLOW'!AH24</f>
        <v>8819999.9999999981</v>
      </c>
      <c r="AI33" s="101">
        <f>'CASH FLOW'!AI24</f>
        <v>9828000</v>
      </c>
      <c r="AJ33" s="101">
        <f>'CASH FLOW'!AJ24</f>
        <v>11843999.999999998</v>
      </c>
      <c r="AK33" s="101">
        <f>'CASH FLOW'!AK24</f>
        <v>13608000</v>
      </c>
      <c r="AL33" s="101">
        <f>'CASH FLOW'!AL24</f>
        <v>15623999.999999996</v>
      </c>
      <c r="AM33" s="101">
        <f>'CASH FLOW'!AM24</f>
        <v>17388000</v>
      </c>
      <c r="AN33" s="101">
        <f>'CASH FLOW'!AN24</f>
        <v>19907999.999999996</v>
      </c>
      <c r="AO33" s="101">
        <f>'CASH FLOW'!AO24</f>
        <v>22931999.999999996</v>
      </c>
    </row>
    <row r="34" spans="1:41" ht="17.25" collapsed="1" x14ac:dyDescent="0.3">
      <c r="A34" s="128" t="s">
        <v>152</v>
      </c>
      <c r="B34" s="122">
        <f>C34/C7*100%</f>
        <v>7.19273607748184E-2</v>
      </c>
      <c r="C34" s="123">
        <f t="shared" si="0"/>
        <v>106941600</v>
      </c>
      <c r="D34" s="124">
        <f t="shared" ref="D34:O34" si="62">SUM(D35:D44)</f>
        <v>0</v>
      </c>
      <c r="E34" s="124">
        <f t="shared" si="62"/>
        <v>0</v>
      </c>
      <c r="F34" s="124">
        <f t="shared" si="62"/>
        <v>0</v>
      </c>
      <c r="G34" s="124">
        <f t="shared" si="62"/>
        <v>6596000</v>
      </c>
      <c r="H34" s="124">
        <f t="shared" si="62"/>
        <v>8208800</v>
      </c>
      <c r="I34" s="124">
        <f t="shared" si="62"/>
        <v>10628000</v>
      </c>
      <c r="J34" s="124">
        <f t="shared" si="62"/>
        <v>12240800</v>
      </c>
      <c r="K34" s="124">
        <f t="shared" si="62"/>
        <v>13047200</v>
      </c>
      <c r="L34" s="124">
        <f t="shared" si="62"/>
        <v>12240800</v>
      </c>
      <c r="M34" s="124">
        <f t="shared" si="62"/>
        <v>14660000</v>
      </c>
      <c r="N34" s="124">
        <f t="shared" si="62"/>
        <v>14660000</v>
      </c>
      <c r="O34" s="124">
        <f t="shared" si="62"/>
        <v>14660000</v>
      </c>
      <c r="P34" s="123">
        <f t="shared" si="2"/>
        <v>218790000</v>
      </c>
      <c r="Q34" s="124">
        <f t="shared" ref="Q34:AB34" si="63">SUM(Q35:Q44)</f>
        <v>16311000</v>
      </c>
      <c r="R34" s="124">
        <f t="shared" si="63"/>
        <v>17067000</v>
      </c>
      <c r="S34" s="124">
        <f t="shared" si="63"/>
        <v>18201000</v>
      </c>
      <c r="T34" s="124">
        <f t="shared" si="63"/>
        <v>18201000</v>
      </c>
      <c r="U34" s="124">
        <f t="shared" si="63"/>
        <v>18201000</v>
      </c>
      <c r="V34" s="124">
        <f t="shared" si="63"/>
        <v>18201000</v>
      </c>
      <c r="W34" s="124">
        <f t="shared" si="63"/>
        <v>17445000</v>
      </c>
      <c r="X34" s="124">
        <f t="shared" si="63"/>
        <v>17067000</v>
      </c>
      <c r="Y34" s="124">
        <f t="shared" si="63"/>
        <v>18201000</v>
      </c>
      <c r="Z34" s="124">
        <f t="shared" si="63"/>
        <v>18957000</v>
      </c>
      <c r="AA34" s="124">
        <f t="shared" si="63"/>
        <v>20091000</v>
      </c>
      <c r="AB34" s="124">
        <f t="shared" si="63"/>
        <v>20847000</v>
      </c>
      <c r="AC34" s="123">
        <f t="shared" si="4"/>
        <v>456450000</v>
      </c>
      <c r="AD34" s="124">
        <f t="shared" ref="AD34:AO34" si="64">SUM(AD35:AD44)</f>
        <v>29060000</v>
      </c>
      <c r="AE34" s="124">
        <f t="shared" si="64"/>
        <v>29060000</v>
      </c>
      <c r="AF34" s="124">
        <f t="shared" si="64"/>
        <v>29816000</v>
      </c>
      <c r="AG34" s="124">
        <f t="shared" si="64"/>
        <v>31706000</v>
      </c>
      <c r="AH34" s="124">
        <f t="shared" si="64"/>
        <v>32840000</v>
      </c>
      <c r="AI34" s="124">
        <f t="shared" si="64"/>
        <v>34352000</v>
      </c>
      <c r="AJ34" s="124">
        <f t="shared" si="64"/>
        <v>37376000</v>
      </c>
      <c r="AK34" s="124">
        <f t="shared" si="64"/>
        <v>40022000</v>
      </c>
      <c r="AL34" s="124">
        <f t="shared" si="64"/>
        <v>43045999.999999993</v>
      </c>
      <c r="AM34" s="124">
        <f t="shared" si="64"/>
        <v>45692000</v>
      </c>
      <c r="AN34" s="124">
        <f t="shared" si="64"/>
        <v>49472000</v>
      </c>
      <c r="AO34" s="124">
        <f t="shared" si="64"/>
        <v>54008000</v>
      </c>
    </row>
    <row r="35" spans="1:41" ht="17.25" hidden="1" outlineLevel="1" x14ac:dyDescent="0.3">
      <c r="A35" s="103" t="s">
        <v>116</v>
      </c>
      <c r="B35" s="99">
        <f t="shared" ref="B35:B44" si="65">C35/$C$7*100%</f>
        <v>1.8462469733656173E-2</v>
      </c>
      <c r="C35" s="104">
        <f t="shared" si="0"/>
        <v>27450000</v>
      </c>
      <c r="D35" s="105">
        <v>0</v>
      </c>
      <c r="E35" s="105">
        <v>0</v>
      </c>
      <c r="F35" s="105">
        <v>0</v>
      </c>
      <c r="G35" s="105">
        <v>3050000</v>
      </c>
      <c r="H35" s="105">
        <f t="shared" ref="H35:O35" si="66">G35</f>
        <v>3050000</v>
      </c>
      <c r="I35" s="105">
        <f t="shared" si="66"/>
        <v>3050000</v>
      </c>
      <c r="J35" s="105">
        <f t="shared" si="66"/>
        <v>3050000</v>
      </c>
      <c r="K35" s="105">
        <f t="shared" si="66"/>
        <v>3050000</v>
      </c>
      <c r="L35" s="105">
        <f t="shared" si="66"/>
        <v>3050000</v>
      </c>
      <c r="M35" s="105">
        <f t="shared" si="66"/>
        <v>3050000</v>
      </c>
      <c r="N35" s="105">
        <f t="shared" si="66"/>
        <v>3050000</v>
      </c>
      <c r="O35" s="105">
        <f t="shared" si="66"/>
        <v>3050000</v>
      </c>
      <c r="P35" s="104">
        <f t="shared" si="2"/>
        <v>51600000</v>
      </c>
      <c r="Q35" s="105">
        <v>4300000</v>
      </c>
      <c r="R35" s="105">
        <v>4300000</v>
      </c>
      <c r="S35" s="105">
        <v>4300000</v>
      </c>
      <c r="T35" s="105">
        <v>4300000</v>
      </c>
      <c r="U35" s="105">
        <v>4300000</v>
      </c>
      <c r="V35" s="105">
        <v>4300000</v>
      </c>
      <c r="W35" s="105">
        <v>4300000</v>
      </c>
      <c r="X35" s="105">
        <v>4300000</v>
      </c>
      <c r="Y35" s="105">
        <v>4300000</v>
      </c>
      <c r="Z35" s="105">
        <v>4300000</v>
      </c>
      <c r="AA35" s="105">
        <v>4300000</v>
      </c>
      <c r="AB35" s="105">
        <v>4300000</v>
      </c>
      <c r="AC35" s="104">
        <f t="shared" si="4"/>
        <v>60000000</v>
      </c>
      <c r="AD35" s="105">
        <v>5000000</v>
      </c>
      <c r="AE35" s="105">
        <v>5000000</v>
      </c>
      <c r="AF35" s="105">
        <v>5000000</v>
      </c>
      <c r="AG35" s="105">
        <v>5000000</v>
      </c>
      <c r="AH35" s="105">
        <v>5000000</v>
      </c>
      <c r="AI35" s="105">
        <v>5000000</v>
      </c>
      <c r="AJ35" s="105">
        <v>5000000</v>
      </c>
      <c r="AK35" s="105">
        <v>5000000</v>
      </c>
      <c r="AL35" s="105">
        <v>5000000</v>
      </c>
      <c r="AM35" s="105">
        <v>5000000</v>
      </c>
      <c r="AN35" s="105">
        <v>5000000</v>
      </c>
      <c r="AO35" s="105">
        <f>AN35</f>
        <v>5000000</v>
      </c>
    </row>
    <row r="36" spans="1:41" ht="17.25" hidden="1" outlineLevel="1" x14ac:dyDescent="0.3">
      <c r="A36" s="103" t="s">
        <v>117</v>
      </c>
      <c r="B36" s="99">
        <f t="shared" si="65"/>
        <v>5.9079903147699758E-3</v>
      </c>
      <c r="C36" s="104">
        <f t="shared" si="0"/>
        <v>8784000</v>
      </c>
      <c r="D36" s="105">
        <v>0</v>
      </c>
      <c r="E36" s="105">
        <v>0</v>
      </c>
      <c r="F36" s="105">
        <v>0</v>
      </c>
      <c r="G36" s="105">
        <f t="shared" ref="G36:O36" si="67">G35*32%</f>
        <v>976000</v>
      </c>
      <c r="H36" s="105">
        <f t="shared" si="67"/>
        <v>976000</v>
      </c>
      <c r="I36" s="105">
        <f t="shared" si="67"/>
        <v>976000</v>
      </c>
      <c r="J36" s="105">
        <f t="shared" si="67"/>
        <v>976000</v>
      </c>
      <c r="K36" s="105">
        <f t="shared" si="67"/>
        <v>976000</v>
      </c>
      <c r="L36" s="105">
        <f t="shared" si="67"/>
        <v>976000</v>
      </c>
      <c r="M36" s="105">
        <f t="shared" si="67"/>
        <v>976000</v>
      </c>
      <c r="N36" s="105">
        <f t="shared" si="67"/>
        <v>976000</v>
      </c>
      <c r="O36" s="105">
        <f t="shared" si="67"/>
        <v>976000</v>
      </c>
      <c r="P36" s="104">
        <f t="shared" si="2"/>
        <v>16512000</v>
      </c>
      <c r="Q36" s="105">
        <f t="shared" ref="Q36:AB36" si="68">Q35*32%</f>
        <v>1376000</v>
      </c>
      <c r="R36" s="105">
        <f t="shared" si="68"/>
        <v>1376000</v>
      </c>
      <c r="S36" s="105">
        <f t="shared" si="68"/>
        <v>1376000</v>
      </c>
      <c r="T36" s="105">
        <f t="shared" si="68"/>
        <v>1376000</v>
      </c>
      <c r="U36" s="105">
        <f t="shared" si="68"/>
        <v>1376000</v>
      </c>
      <c r="V36" s="105">
        <f t="shared" si="68"/>
        <v>1376000</v>
      </c>
      <c r="W36" s="105">
        <f t="shared" si="68"/>
        <v>1376000</v>
      </c>
      <c r="X36" s="105">
        <f t="shared" si="68"/>
        <v>1376000</v>
      </c>
      <c r="Y36" s="105">
        <f t="shared" si="68"/>
        <v>1376000</v>
      </c>
      <c r="Z36" s="105">
        <f t="shared" si="68"/>
        <v>1376000</v>
      </c>
      <c r="AA36" s="105">
        <f t="shared" si="68"/>
        <v>1376000</v>
      </c>
      <c r="AB36" s="105">
        <f t="shared" si="68"/>
        <v>1376000</v>
      </c>
      <c r="AC36" s="104">
        <f t="shared" si="4"/>
        <v>19200000</v>
      </c>
      <c r="AD36" s="105">
        <f t="shared" ref="AD36:AO36" si="69">AD35*32%</f>
        <v>1600000</v>
      </c>
      <c r="AE36" s="105">
        <f t="shared" si="69"/>
        <v>1600000</v>
      </c>
      <c r="AF36" s="105">
        <f t="shared" si="69"/>
        <v>1600000</v>
      </c>
      <c r="AG36" s="105">
        <f t="shared" si="69"/>
        <v>1600000</v>
      </c>
      <c r="AH36" s="105">
        <f t="shared" si="69"/>
        <v>1600000</v>
      </c>
      <c r="AI36" s="105">
        <f t="shared" si="69"/>
        <v>1600000</v>
      </c>
      <c r="AJ36" s="105">
        <f t="shared" si="69"/>
        <v>1600000</v>
      </c>
      <c r="AK36" s="105">
        <f t="shared" si="69"/>
        <v>1600000</v>
      </c>
      <c r="AL36" s="105">
        <f t="shared" si="69"/>
        <v>1600000</v>
      </c>
      <c r="AM36" s="105">
        <f t="shared" si="69"/>
        <v>1600000</v>
      </c>
      <c r="AN36" s="105">
        <f t="shared" si="69"/>
        <v>1600000</v>
      </c>
      <c r="AO36" s="105">
        <f t="shared" si="69"/>
        <v>1600000</v>
      </c>
    </row>
    <row r="37" spans="1:41" ht="17.25" hidden="1" outlineLevel="1" x14ac:dyDescent="0.3">
      <c r="A37" s="103" t="s">
        <v>118</v>
      </c>
      <c r="B37" s="99">
        <f t="shared" si="65"/>
        <v>4.2372881355932203E-3</v>
      </c>
      <c r="C37" s="104">
        <f t="shared" si="0"/>
        <v>6300000</v>
      </c>
      <c r="D37" s="105">
        <v>0</v>
      </c>
      <c r="E37" s="105">
        <v>0</v>
      </c>
      <c r="F37" s="105">
        <v>0</v>
      </c>
      <c r="G37" s="105">
        <f t="shared" ref="G37:O37" si="70">100*7000</f>
        <v>700000</v>
      </c>
      <c r="H37" s="105">
        <f t="shared" si="70"/>
        <v>700000</v>
      </c>
      <c r="I37" s="105">
        <f t="shared" si="70"/>
        <v>700000</v>
      </c>
      <c r="J37" s="105">
        <f t="shared" si="70"/>
        <v>700000</v>
      </c>
      <c r="K37" s="105">
        <f t="shared" si="70"/>
        <v>700000</v>
      </c>
      <c r="L37" s="105">
        <f t="shared" si="70"/>
        <v>700000</v>
      </c>
      <c r="M37" s="105">
        <f t="shared" si="70"/>
        <v>700000</v>
      </c>
      <c r="N37" s="105">
        <f t="shared" si="70"/>
        <v>700000</v>
      </c>
      <c r="O37" s="105">
        <f t="shared" si="70"/>
        <v>700000</v>
      </c>
      <c r="P37" s="104">
        <f t="shared" si="2"/>
        <v>25200000</v>
      </c>
      <c r="Q37" s="105">
        <f t="shared" ref="Q37:AB37" si="71">300*7000</f>
        <v>2100000</v>
      </c>
      <c r="R37" s="105">
        <f t="shared" si="71"/>
        <v>2100000</v>
      </c>
      <c r="S37" s="105">
        <f t="shared" si="71"/>
        <v>2100000</v>
      </c>
      <c r="T37" s="105">
        <f t="shared" si="71"/>
        <v>2100000</v>
      </c>
      <c r="U37" s="105">
        <f t="shared" si="71"/>
        <v>2100000</v>
      </c>
      <c r="V37" s="105">
        <f t="shared" si="71"/>
        <v>2100000</v>
      </c>
      <c r="W37" s="105">
        <f t="shared" si="71"/>
        <v>2100000</v>
      </c>
      <c r="X37" s="105">
        <f t="shared" si="71"/>
        <v>2100000</v>
      </c>
      <c r="Y37" s="105">
        <f t="shared" si="71"/>
        <v>2100000</v>
      </c>
      <c r="Z37" s="105">
        <f t="shared" si="71"/>
        <v>2100000</v>
      </c>
      <c r="AA37" s="105">
        <f t="shared" si="71"/>
        <v>2100000</v>
      </c>
      <c r="AB37" s="105">
        <f t="shared" si="71"/>
        <v>2100000</v>
      </c>
      <c r="AC37" s="104">
        <f t="shared" si="4"/>
        <v>42000000</v>
      </c>
      <c r="AD37" s="105">
        <f t="shared" ref="AD37:AO37" si="72">500*7000</f>
        <v>3500000</v>
      </c>
      <c r="AE37" s="105">
        <f t="shared" si="72"/>
        <v>3500000</v>
      </c>
      <c r="AF37" s="105">
        <f t="shared" si="72"/>
        <v>3500000</v>
      </c>
      <c r="AG37" s="105">
        <f t="shared" si="72"/>
        <v>3500000</v>
      </c>
      <c r="AH37" s="105">
        <f t="shared" si="72"/>
        <v>3500000</v>
      </c>
      <c r="AI37" s="105">
        <f t="shared" si="72"/>
        <v>3500000</v>
      </c>
      <c r="AJ37" s="105">
        <f t="shared" si="72"/>
        <v>3500000</v>
      </c>
      <c r="AK37" s="105">
        <f t="shared" si="72"/>
        <v>3500000</v>
      </c>
      <c r="AL37" s="105">
        <f t="shared" si="72"/>
        <v>3500000</v>
      </c>
      <c r="AM37" s="105">
        <f t="shared" si="72"/>
        <v>3500000</v>
      </c>
      <c r="AN37" s="105">
        <f t="shared" si="72"/>
        <v>3500000</v>
      </c>
      <c r="AO37" s="105">
        <f t="shared" si="72"/>
        <v>3500000</v>
      </c>
    </row>
    <row r="38" spans="1:41" ht="17.25" hidden="1" outlineLevel="1" x14ac:dyDescent="0.3">
      <c r="A38" s="103" t="s">
        <v>119</v>
      </c>
      <c r="B38" s="99">
        <f t="shared" si="65"/>
        <v>0</v>
      </c>
      <c r="C38" s="104">
        <f t="shared" si="0"/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f t="shared" ref="J38:L38" si="73">I38</f>
        <v>0</v>
      </c>
      <c r="K38" s="105">
        <f t="shared" si="73"/>
        <v>0</v>
      </c>
      <c r="L38" s="105">
        <f t="shared" si="73"/>
        <v>0</v>
      </c>
      <c r="M38" s="105">
        <f>L38*2</f>
        <v>0</v>
      </c>
      <c r="N38" s="105">
        <f t="shared" ref="N38:O38" si="74">M38</f>
        <v>0</v>
      </c>
      <c r="O38" s="105">
        <f t="shared" si="74"/>
        <v>0</v>
      </c>
      <c r="P38" s="104">
        <f t="shared" si="2"/>
        <v>23400000</v>
      </c>
      <c r="Q38" s="105">
        <f t="shared" ref="Q38:AB38" si="75">300*6500</f>
        <v>1950000</v>
      </c>
      <c r="R38" s="105">
        <f t="shared" si="75"/>
        <v>1950000</v>
      </c>
      <c r="S38" s="105">
        <f t="shared" si="75"/>
        <v>1950000</v>
      </c>
      <c r="T38" s="105">
        <f t="shared" si="75"/>
        <v>1950000</v>
      </c>
      <c r="U38" s="105">
        <f t="shared" si="75"/>
        <v>1950000</v>
      </c>
      <c r="V38" s="105">
        <f t="shared" si="75"/>
        <v>1950000</v>
      </c>
      <c r="W38" s="105">
        <f t="shared" si="75"/>
        <v>1950000</v>
      </c>
      <c r="X38" s="105">
        <f t="shared" si="75"/>
        <v>1950000</v>
      </c>
      <c r="Y38" s="105">
        <f t="shared" si="75"/>
        <v>1950000</v>
      </c>
      <c r="Z38" s="105">
        <f t="shared" si="75"/>
        <v>1950000</v>
      </c>
      <c r="AA38" s="105">
        <f t="shared" si="75"/>
        <v>1950000</v>
      </c>
      <c r="AB38" s="105">
        <f t="shared" si="75"/>
        <v>1950000</v>
      </c>
      <c r="AC38" s="104">
        <f t="shared" si="4"/>
        <v>46800000</v>
      </c>
      <c r="AD38" s="105">
        <f>AB38*2</f>
        <v>3900000</v>
      </c>
      <c r="AE38" s="105">
        <f t="shared" ref="AE38:AO38" si="76">AD38</f>
        <v>3900000</v>
      </c>
      <c r="AF38" s="105">
        <f t="shared" si="76"/>
        <v>3900000</v>
      </c>
      <c r="AG38" s="105">
        <f t="shared" si="76"/>
        <v>3900000</v>
      </c>
      <c r="AH38" s="105">
        <f t="shared" si="76"/>
        <v>3900000</v>
      </c>
      <c r="AI38" s="105">
        <f t="shared" si="76"/>
        <v>3900000</v>
      </c>
      <c r="AJ38" s="105">
        <f t="shared" si="76"/>
        <v>3900000</v>
      </c>
      <c r="AK38" s="105">
        <f t="shared" si="76"/>
        <v>3900000</v>
      </c>
      <c r="AL38" s="105">
        <f t="shared" si="76"/>
        <v>3900000</v>
      </c>
      <c r="AM38" s="105">
        <f t="shared" si="76"/>
        <v>3900000</v>
      </c>
      <c r="AN38" s="105">
        <f t="shared" si="76"/>
        <v>3900000</v>
      </c>
      <c r="AO38" s="105">
        <f t="shared" si="76"/>
        <v>3900000</v>
      </c>
    </row>
    <row r="39" spans="1:41" ht="17.25" hidden="1" outlineLevel="1" x14ac:dyDescent="0.3">
      <c r="A39" s="103" t="s">
        <v>153</v>
      </c>
      <c r="B39" s="99">
        <f t="shared" si="65"/>
        <v>0.01</v>
      </c>
      <c r="C39" s="104">
        <f t="shared" si="0"/>
        <v>14868000</v>
      </c>
      <c r="D39" s="105">
        <v>0</v>
      </c>
      <c r="E39" s="105">
        <v>0</v>
      </c>
      <c r="F39" s="105">
        <v>0</v>
      </c>
      <c r="G39" s="105">
        <f t="shared" ref="G39:O39" si="77">G7*1%</f>
        <v>0</v>
      </c>
      <c r="H39" s="105">
        <f t="shared" si="77"/>
        <v>504000</v>
      </c>
      <c r="I39" s="105">
        <f t="shared" si="77"/>
        <v>1259999.9999999998</v>
      </c>
      <c r="J39" s="105">
        <f t="shared" si="77"/>
        <v>1763999.9999999998</v>
      </c>
      <c r="K39" s="105">
        <f t="shared" si="77"/>
        <v>2016000</v>
      </c>
      <c r="L39" s="105">
        <f t="shared" si="77"/>
        <v>1763999.9999999998</v>
      </c>
      <c r="M39" s="105">
        <f t="shared" si="77"/>
        <v>2519999.9999999995</v>
      </c>
      <c r="N39" s="105">
        <f t="shared" si="77"/>
        <v>2519999.9999999995</v>
      </c>
      <c r="O39" s="105">
        <f t="shared" si="77"/>
        <v>2519999.9999999995</v>
      </c>
      <c r="P39" s="104">
        <f t="shared" si="2"/>
        <v>45612000</v>
      </c>
      <c r="Q39" s="105">
        <f t="shared" ref="Q39:AB39" si="78">Q7*1%</f>
        <v>2519999.9999999995</v>
      </c>
      <c r="R39" s="105">
        <f t="shared" si="78"/>
        <v>3024000</v>
      </c>
      <c r="S39" s="105">
        <f t="shared" si="78"/>
        <v>3779999.9999999995</v>
      </c>
      <c r="T39" s="105">
        <f t="shared" si="78"/>
        <v>3779999.9999999995</v>
      </c>
      <c r="U39" s="105">
        <f t="shared" si="78"/>
        <v>3779999.9999999995</v>
      </c>
      <c r="V39" s="105">
        <f t="shared" si="78"/>
        <v>3779999.9999999995</v>
      </c>
      <c r="W39" s="105">
        <f t="shared" si="78"/>
        <v>3275999.9999999995</v>
      </c>
      <c r="X39" s="105">
        <f t="shared" si="78"/>
        <v>3024000</v>
      </c>
      <c r="Y39" s="105">
        <f t="shared" si="78"/>
        <v>3779999.9999999995</v>
      </c>
      <c r="Z39" s="105">
        <f t="shared" si="78"/>
        <v>4283999.9999999991</v>
      </c>
      <c r="AA39" s="105">
        <f t="shared" si="78"/>
        <v>5039999.9999999991</v>
      </c>
      <c r="AB39" s="105">
        <f t="shared" si="78"/>
        <v>5544000</v>
      </c>
      <c r="AC39" s="104">
        <f t="shared" si="4"/>
        <v>147420000</v>
      </c>
      <c r="AD39" s="105">
        <f t="shared" ref="AD39:AO39" si="79">AD7*1%</f>
        <v>6299999.9999999991</v>
      </c>
      <c r="AE39" s="105">
        <f t="shared" si="79"/>
        <v>6299999.9999999991</v>
      </c>
      <c r="AF39" s="105">
        <f t="shared" si="79"/>
        <v>6804000</v>
      </c>
      <c r="AG39" s="105">
        <f t="shared" si="79"/>
        <v>8064000</v>
      </c>
      <c r="AH39" s="105">
        <f t="shared" si="79"/>
        <v>8819999.9999999981</v>
      </c>
      <c r="AI39" s="105">
        <f t="shared" si="79"/>
        <v>9828000</v>
      </c>
      <c r="AJ39" s="105">
        <f t="shared" si="79"/>
        <v>11843999.999999998</v>
      </c>
      <c r="AK39" s="105">
        <f t="shared" si="79"/>
        <v>13608000</v>
      </c>
      <c r="AL39" s="105">
        <f t="shared" si="79"/>
        <v>15623999.999999996</v>
      </c>
      <c r="AM39" s="105">
        <f t="shared" si="79"/>
        <v>17388000</v>
      </c>
      <c r="AN39" s="105">
        <f t="shared" si="79"/>
        <v>19907999.999999996</v>
      </c>
      <c r="AO39" s="105">
        <f t="shared" si="79"/>
        <v>22931999.999999996</v>
      </c>
    </row>
    <row r="40" spans="1:41" ht="17.25" hidden="1" outlineLevel="1" x14ac:dyDescent="0.3">
      <c r="A40" s="103" t="s">
        <v>154</v>
      </c>
      <c r="B40" s="99">
        <f t="shared" si="65"/>
        <v>2.1999999999999999E-2</v>
      </c>
      <c r="C40" s="104">
        <f t="shared" si="0"/>
        <v>32709600</v>
      </c>
      <c r="D40" s="105">
        <v>0</v>
      </c>
      <c r="E40" s="105">
        <v>0</v>
      </c>
      <c r="F40" s="105">
        <v>0</v>
      </c>
      <c r="G40" s="105">
        <f>G7*2</f>
        <v>0</v>
      </c>
      <c r="H40" s="105">
        <f t="shared" ref="H40:O40" si="80">H7*2.2%</f>
        <v>1108800</v>
      </c>
      <c r="I40" s="105">
        <f t="shared" si="80"/>
        <v>2772000</v>
      </c>
      <c r="J40" s="105">
        <f t="shared" si="80"/>
        <v>3880799.9999999995</v>
      </c>
      <c r="K40" s="105">
        <f t="shared" si="80"/>
        <v>4435200</v>
      </c>
      <c r="L40" s="105">
        <f t="shared" si="80"/>
        <v>3880799.9999999995</v>
      </c>
      <c r="M40" s="105">
        <f t="shared" si="80"/>
        <v>5544000</v>
      </c>
      <c r="N40" s="105">
        <f t="shared" si="80"/>
        <v>5544000</v>
      </c>
      <c r="O40" s="105">
        <f t="shared" si="80"/>
        <v>5544000</v>
      </c>
      <c r="P40" s="104">
        <f t="shared" si="2"/>
        <v>22806000</v>
      </c>
      <c r="Q40" s="105">
        <f t="shared" ref="Q40:AB40" si="81">Q7*0.5%</f>
        <v>1259999.9999999998</v>
      </c>
      <c r="R40" s="105">
        <f t="shared" si="81"/>
        <v>1512000</v>
      </c>
      <c r="S40" s="105">
        <f t="shared" si="81"/>
        <v>1889999.9999999998</v>
      </c>
      <c r="T40" s="105">
        <f t="shared" si="81"/>
        <v>1889999.9999999998</v>
      </c>
      <c r="U40" s="105">
        <f t="shared" si="81"/>
        <v>1889999.9999999998</v>
      </c>
      <c r="V40" s="105">
        <f t="shared" si="81"/>
        <v>1889999.9999999998</v>
      </c>
      <c r="W40" s="105">
        <f t="shared" si="81"/>
        <v>1637999.9999999998</v>
      </c>
      <c r="X40" s="105">
        <f t="shared" si="81"/>
        <v>1512000</v>
      </c>
      <c r="Y40" s="105">
        <f t="shared" si="81"/>
        <v>1889999.9999999998</v>
      </c>
      <c r="Z40" s="105">
        <f t="shared" si="81"/>
        <v>2141999.9999999995</v>
      </c>
      <c r="AA40" s="105">
        <f t="shared" si="81"/>
        <v>2519999.9999999995</v>
      </c>
      <c r="AB40" s="105">
        <f t="shared" si="81"/>
        <v>2772000</v>
      </c>
      <c r="AC40" s="104">
        <f t="shared" si="4"/>
        <v>73710000</v>
      </c>
      <c r="AD40" s="105">
        <f t="shared" ref="AD40:AO40" si="82">AD7*0.5%</f>
        <v>3149999.9999999995</v>
      </c>
      <c r="AE40" s="105">
        <f t="shared" si="82"/>
        <v>3149999.9999999995</v>
      </c>
      <c r="AF40" s="105">
        <f t="shared" si="82"/>
        <v>3402000</v>
      </c>
      <c r="AG40" s="105">
        <f t="shared" si="82"/>
        <v>4032000</v>
      </c>
      <c r="AH40" s="105">
        <f t="shared" si="82"/>
        <v>4409999.9999999991</v>
      </c>
      <c r="AI40" s="105">
        <f t="shared" si="82"/>
        <v>4914000</v>
      </c>
      <c r="AJ40" s="105">
        <f t="shared" si="82"/>
        <v>5921999.9999999991</v>
      </c>
      <c r="AK40" s="105">
        <f t="shared" si="82"/>
        <v>6804000</v>
      </c>
      <c r="AL40" s="105">
        <f t="shared" si="82"/>
        <v>7811999.9999999981</v>
      </c>
      <c r="AM40" s="105">
        <f t="shared" si="82"/>
        <v>8694000</v>
      </c>
      <c r="AN40" s="105">
        <f t="shared" si="82"/>
        <v>9953999.9999999981</v>
      </c>
      <c r="AO40" s="105">
        <f t="shared" si="82"/>
        <v>11465999.999999998</v>
      </c>
    </row>
    <row r="41" spans="1:41" ht="17.25" hidden="1" outlineLevel="1" x14ac:dyDescent="0.3">
      <c r="A41" s="103" t="s">
        <v>122</v>
      </c>
      <c r="B41" s="99">
        <f t="shared" si="65"/>
        <v>3.6319612590799033E-3</v>
      </c>
      <c r="C41" s="104">
        <f t="shared" si="0"/>
        <v>5400000</v>
      </c>
      <c r="D41" s="105">
        <v>0</v>
      </c>
      <c r="E41" s="105">
        <v>0</v>
      </c>
      <c r="F41" s="105">
        <v>0</v>
      </c>
      <c r="G41" s="105">
        <v>600000</v>
      </c>
      <c r="H41" s="105">
        <v>600000</v>
      </c>
      <c r="I41" s="105">
        <v>600000</v>
      </c>
      <c r="J41" s="105">
        <v>600000</v>
      </c>
      <c r="K41" s="105">
        <v>600000</v>
      </c>
      <c r="L41" s="105">
        <v>600000</v>
      </c>
      <c r="M41" s="105">
        <v>600000</v>
      </c>
      <c r="N41" s="105">
        <v>600000</v>
      </c>
      <c r="O41" s="105">
        <v>600000</v>
      </c>
      <c r="P41" s="104">
        <f t="shared" si="2"/>
        <v>10800000</v>
      </c>
      <c r="Q41" s="105">
        <f t="shared" ref="Q41:Q44" si="83">O41*1.5</f>
        <v>900000</v>
      </c>
      <c r="R41" s="105">
        <f t="shared" ref="R41:AB41" si="84">Q41</f>
        <v>900000</v>
      </c>
      <c r="S41" s="105">
        <f t="shared" si="84"/>
        <v>900000</v>
      </c>
      <c r="T41" s="105">
        <f t="shared" si="84"/>
        <v>900000</v>
      </c>
      <c r="U41" s="105">
        <f t="shared" si="84"/>
        <v>900000</v>
      </c>
      <c r="V41" s="105">
        <f t="shared" si="84"/>
        <v>900000</v>
      </c>
      <c r="W41" s="105">
        <f t="shared" si="84"/>
        <v>900000</v>
      </c>
      <c r="X41" s="105">
        <f t="shared" si="84"/>
        <v>900000</v>
      </c>
      <c r="Y41" s="105">
        <f t="shared" si="84"/>
        <v>900000</v>
      </c>
      <c r="Z41" s="105">
        <f t="shared" si="84"/>
        <v>900000</v>
      </c>
      <c r="AA41" s="105">
        <f t="shared" si="84"/>
        <v>900000</v>
      </c>
      <c r="AB41" s="105">
        <f t="shared" si="84"/>
        <v>900000</v>
      </c>
      <c r="AC41" s="104">
        <f t="shared" si="4"/>
        <v>21600000</v>
      </c>
      <c r="AD41" s="105">
        <f t="shared" ref="AD41:AD44" si="85">AB41*2</f>
        <v>1800000</v>
      </c>
      <c r="AE41" s="105">
        <f t="shared" ref="AE41:AO41" si="86">AD41</f>
        <v>1800000</v>
      </c>
      <c r="AF41" s="105">
        <f t="shared" si="86"/>
        <v>1800000</v>
      </c>
      <c r="AG41" s="105">
        <f t="shared" si="86"/>
        <v>1800000</v>
      </c>
      <c r="AH41" s="105">
        <f t="shared" si="86"/>
        <v>1800000</v>
      </c>
      <c r="AI41" s="105">
        <f t="shared" si="86"/>
        <v>1800000</v>
      </c>
      <c r="AJ41" s="105">
        <f t="shared" si="86"/>
        <v>1800000</v>
      </c>
      <c r="AK41" s="105">
        <f t="shared" si="86"/>
        <v>1800000</v>
      </c>
      <c r="AL41" s="105">
        <f t="shared" si="86"/>
        <v>1800000</v>
      </c>
      <c r="AM41" s="105">
        <f t="shared" si="86"/>
        <v>1800000</v>
      </c>
      <c r="AN41" s="105">
        <f t="shared" si="86"/>
        <v>1800000</v>
      </c>
      <c r="AO41" s="105">
        <f t="shared" si="86"/>
        <v>1800000</v>
      </c>
    </row>
    <row r="42" spans="1:41" ht="17.25" hidden="1" outlineLevel="1" x14ac:dyDescent="0.3">
      <c r="A42" s="103" t="s">
        <v>123</v>
      </c>
      <c r="B42" s="99">
        <f t="shared" si="65"/>
        <v>4.8426150121065378E-3</v>
      </c>
      <c r="C42" s="104">
        <f t="shared" si="0"/>
        <v>7200000</v>
      </c>
      <c r="D42" s="105">
        <v>0</v>
      </c>
      <c r="E42" s="105">
        <v>0</v>
      </c>
      <c r="F42" s="105">
        <v>0</v>
      </c>
      <c r="G42" s="105">
        <v>800000</v>
      </c>
      <c r="H42" s="105">
        <v>800000</v>
      </c>
      <c r="I42" s="105">
        <v>800000</v>
      </c>
      <c r="J42" s="105">
        <v>800000</v>
      </c>
      <c r="K42" s="105">
        <v>800000</v>
      </c>
      <c r="L42" s="105">
        <v>800000</v>
      </c>
      <c r="M42" s="105">
        <v>800000</v>
      </c>
      <c r="N42" s="105">
        <v>800000</v>
      </c>
      <c r="O42" s="105">
        <v>800000</v>
      </c>
      <c r="P42" s="104">
        <f t="shared" si="2"/>
        <v>14400000</v>
      </c>
      <c r="Q42" s="105">
        <f t="shared" si="83"/>
        <v>1200000</v>
      </c>
      <c r="R42" s="105">
        <f t="shared" ref="R42:AB42" si="87">Q42</f>
        <v>1200000</v>
      </c>
      <c r="S42" s="105">
        <f t="shared" si="87"/>
        <v>1200000</v>
      </c>
      <c r="T42" s="105">
        <f t="shared" si="87"/>
        <v>1200000</v>
      </c>
      <c r="U42" s="105">
        <f t="shared" si="87"/>
        <v>1200000</v>
      </c>
      <c r="V42" s="105">
        <f t="shared" si="87"/>
        <v>1200000</v>
      </c>
      <c r="W42" s="105">
        <f t="shared" si="87"/>
        <v>1200000</v>
      </c>
      <c r="X42" s="105">
        <f t="shared" si="87"/>
        <v>1200000</v>
      </c>
      <c r="Y42" s="105">
        <f t="shared" si="87"/>
        <v>1200000</v>
      </c>
      <c r="Z42" s="105">
        <f t="shared" si="87"/>
        <v>1200000</v>
      </c>
      <c r="AA42" s="105">
        <f t="shared" si="87"/>
        <v>1200000</v>
      </c>
      <c r="AB42" s="105">
        <f t="shared" si="87"/>
        <v>1200000</v>
      </c>
      <c r="AC42" s="104">
        <f t="shared" si="4"/>
        <v>28800000</v>
      </c>
      <c r="AD42" s="105">
        <f t="shared" si="85"/>
        <v>2400000</v>
      </c>
      <c r="AE42" s="105">
        <f t="shared" ref="AE42:AO42" si="88">AD42</f>
        <v>2400000</v>
      </c>
      <c r="AF42" s="105">
        <f t="shared" si="88"/>
        <v>2400000</v>
      </c>
      <c r="AG42" s="105">
        <f t="shared" si="88"/>
        <v>2400000</v>
      </c>
      <c r="AH42" s="105">
        <f t="shared" si="88"/>
        <v>2400000</v>
      </c>
      <c r="AI42" s="105">
        <f t="shared" si="88"/>
        <v>2400000</v>
      </c>
      <c r="AJ42" s="105">
        <f t="shared" si="88"/>
        <v>2400000</v>
      </c>
      <c r="AK42" s="105">
        <f t="shared" si="88"/>
        <v>2400000</v>
      </c>
      <c r="AL42" s="105">
        <f t="shared" si="88"/>
        <v>2400000</v>
      </c>
      <c r="AM42" s="105">
        <f t="shared" si="88"/>
        <v>2400000</v>
      </c>
      <c r="AN42" s="105">
        <f t="shared" si="88"/>
        <v>2400000</v>
      </c>
      <c r="AO42" s="105">
        <f t="shared" si="88"/>
        <v>2400000</v>
      </c>
    </row>
    <row r="43" spans="1:41" ht="17.25" hidden="1" outlineLevel="1" x14ac:dyDescent="0.3">
      <c r="A43" s="103" t="s">
        <v>124</v>
      </c>
      <c r="B43" s="99">
        <f t="shared" si="65"/>
        <v>2.4213075060532689E-3</v>
      </c>
      <c r="C43" s="104">
        <f t="shared" si="0"/>
        <v>3600000</v>
      </c>
      <c r="D43" s="105">
        <v>0</v>
      </c>
      <c r="E43" s="105">
        <v>0</v>
      </c>
      <c r="F43" s="105">
        <v>0</v>
      </c>
      <c r="G43" s="105">
        <v>400000</v>
      </c>
      <c r="H43" s="105">
        <v>400000</v>
      </c>
      <c r="I43" s="105">
        <v>400000</v>
      </c>
      <c r="J43" s="105">
        <v>400000</v>
      </c>
      <c r="K43" s="105">
        <v>400000</v>
      </c>
      <c r="L43" s="105">
        <v>400000</v>
      </c>
      <c r="M43" s="105">
        <v>400000</v>
      </c>
      <c r="N43" s="105">
        <v>400000</v>
      </c>
      <c r="O43" s="105">
        <v>400000</v>
      </c>
      <c r="P43" s="104">
        <f t="shared" si="2"/>
        <v>7200000</v>
      </c>
      <c r="Q43" s="105">
        <f t="shared" si="83"/>
        <v>600000</v>
      </c>
      <c r="R43" s="105">
        <f t="shared" ref="R43:AB43" si="89">Q43</f>
        <v>600000</v>
      </c>
      <c r="S43" s="105">
        <f t="shared" si="89"/>
        <v>600000</v>
      </c>
      <c r="T43" s="105">
        <f t="shared" si="89"/>
        <v>600000</v>
      </c>
      <c r="U43" s="105">
        <f t="shared" si="89"/>
        <v>600000</v>
      </c>
      <c r="V43" s="105">
        <f t="shared" si="89"/>
        <v>600000</v>
      </c>
      <c r="W43" s="105">
        <f t="shared" si="89"/>
        <v>600000</v>
      </c>
      <c r="X43" s="105">
        <f t="shared" si="89"/>
        <v>600000</v>
      </c>
      <c r="Y43" s="105">
        <f t="shared" si="89"/>
        <v>600000</v>
      </c>
      <c r="Z43" s="105">
        <f t="shared" si="89"/>
        <v>600000</v>
      </c>
      <c r="AA43" s="105">
        <f t="shared" si="89"/>
        <v>600000</v>
      </c>
      <c r="AB43" s="105">
        <f t="shared" si="89"/>
        <v>600000</v>
      </c>
      <c r="AC43" s="104">
        <f t="shared" si="4"/>
        <v>14400000</v>
      </c>
      <c r="AD43" s="105">
        <f t="shared" si="85"/>
        <v>1200000</v>
      </c>
      <c r="AE43" s="105">
        <f t="shared" ref="AE43:AO43" si="90">AD43</f>
        <v>1200000</v>
      </c>
      <c r="AF43" s="105">
        <f t="shared" si="90"/>
        <v>1200000</v>
      </c>
      <c r="AG43" s="105">
        <f t="shared" si="90"/>
        <v>1200000</v>
      </c>
      <c r="AH43" s="105">
        <f t="shared" si="90"/>
        <v>1200000</v>
      </c>
      <c r="AI43" s="105">
        <f t="shared" si="90"/>
        <v>1200000</v>
      </c>
      <c r="AJ43" s="105">
        <f t="shared" si="90"/>
        <v>1200000</v>
      </c>
      <c r="AK43" s="105">
        <f t="shared" si="90"/>
        <v>1200000</v>
      </c>
      <c r="AL43" s="105">
        <f t="shared" si="90"/>
        <v>1200000</v>
      </c>
      <c r="AM43" s="105">
        <f t="shared" si="90"/>
        <v>1200000</v>
      </c>
      <c r="AN43" s="105">
        <f t="shared" si="90"/>
        <v>1200000</v>
      </c>
      <c r="AO43" s="105">
        <f t="shared" si="90"/>
        <v>1200000</v>
      </c>
    </row>
    <row r="44" spans="1:41" ht="17.25" hidden="1" outlineLevel="1" x14ac:dyDescent="0.3">
      <c r="A44" s="103" t="s">
        <v>155</v>
      </c>
      <c r="B44" s="99">
        <f t="shared" si="65"/>
        <v>4.2372881355932202E-4</v>
      </c>
      <c r="C44" s="104">
        <f t="shared" si="0"/>
        <v>630000</v>
      </c>
      <c r="D44" s="105">
        <v>0</v>
      </c>
      <c r="E44" s="105">
        <v>0</v>
      </c>
      <c r="F44" s="105">
        <v>0</v>
      </c>
      <c r="G44" s="105">
        <f t="shared" ref="G44:O44" si="91">70000</f>
        <v>70000</v>
      </c>
      <c r="H44" s="105">
        <f t="shared" si="91"/>
        <v>70000</v>
      </c>
      <c r="I44" s="105">
        <f t="shared" si="91"/>
        <v>70000</v>
      </c>
      <c r="J44" s="105">
        <f t="shared" si="91"/>
        <v>70000</v>
      </c>
      <c r="K44" s="105">
        <f t="shared" si="91"/>
        <v>70000</v>
      </c>
      <c r="L44" s="105">
        <f t="shared" si="91"/>
        <v>70000</v>
      </c>
      <c r="M44" s="105">
        <f t="shared" si="91"/>
        <v>70000</v>
      </c>
      <c r="N44" s="105">
        <f t="shared" si="91"/>
        <v>70000</v>
      </c>
      <c r="O44" s="105">
        <f t="shared" si="91"/>
        <v>70000</v>
      </c>
      <c r="P44" s="104">
        <f t="shared" si="2"/>
        <v>1260000</v>
      </c>
      <c r="Q44" s="105">
        <f t="shared" si="83"/>
        <v>105000</v>
      </c>
      <c r="R44" s="105">
        <f t="shared" ref="R44:AB44" si="92">Q44</f>
        <v>105000</v>
      </c>
      <c r="S44" s="105">
        <f t="shared" si="92"/>
        <v>105000</v>
      </c>
      <c r="T44" s="105">
        <f t="shared" si="92"/>
        <v>105000</v>
      </c>
      <c r="U44" s="105">
        <f t="shared" si="92"/>
        <v>105000</v>
      </c>
      <c r="V44" s="105">
        <f t="shared" si="92"/>
        <v>105000</v>
      </c>
      <c r="W44" s="105">
        <f t="shared" si="92"/>
        <v>105000</v>
      </c>
      <c r="X44" s="105">
        <f t="shared" si="92"/>
        <v>105000</v>
      </c>
      <c r="Y44" s="105">
        <f t="shared" si="92"/>
        <v>105000</v>
      </c>
      <c r="Z44" s="105">
        <f t="shared" si="92"/>
        <v>105000</v>
      </c>
      <c r="AA44" s="105">
        <f t="shared" si="92"/>
        <v>105000</v>
      </c>
      <c r="AB44" s="105">
        <f t="shared" si="92"/>
        <v>105000</v>
      </c>
      <c r="AC44" s="104">
        <f t="shared" si="4"/>
        <v>2520000</v>
      </c>
      <c r="AD44" s="105">
        <f t="shared" si="85"/>
        <v>210000</v>
      </c>
      <c r="AE44" s="105">
        <f t="shared" ref="AE44:AO44" si="93">AD44</f>
        <v>210000</v>
      </c>
      <c r="AF44" s="105">
        <f t="shared" si="93"/>
        <v>210000</v>
      </c>
      <c r="AG44" s="105">
        <f t="shared" si="93"/>
        <v>210000</v>
      </c>
      <c r="AH44" s="105">
        <f t="shared" si="93"/>
        <v>210000</v>
      </c>
      <c r="AI44" s="105">
        <f t="shared" si="93"/>
        <v>210000</v>
      </c>
      <c r="AJ44" s="105">
        <f t="shared" si="93"/>
        <v>210000</v>
      </c>
      <c r="AK44" s="105">
        <f t="shared" si="93"/>
        <v>210000</v>
      </c>
      <c r="AL44" s="105">
        <f t="shared" si="93"/>
        <v>210000</v>
      </c>
      <c r="AM44" s="105">
        <f t="shared" si="93"/>
        <v>210000</v>
      </c>
      <c r="AN44" s="105">
        <f t="shared" si="93"/>
        <v>210000</v>
      </c>
      <c r="AO44" s="105">
        <f t="shared" si="93"/>
        <v>210000</v>
      </c>
    </row>
    <row r="45" spans="1:41" ht="17.25" x14ac:dyDescent="0.3">
      <c r="A45" s="130" t="s">
        <v>156</v>
      </c>
      <c r="B45" s="122">
        <f>C45/C7*100%</f>
        <v>2.3540489642184557E-2</v>
      </c>
      <c r="C45" s="123">
        <f t="shared" si="0"/>
        <v>35000000</v>
      </c>
      <c r="D45" s="124">
        <f>'ФИН ЗАЕМ'!F7</f>
        <v>0</v>
      </c>
      <c r="E45" s="124">
        <f>'ФИН ЗАЕМ'!G7</f>
        <v>0</v>
      </c>
      <c r="F45" s="124">
        <f>'ФИН ЗАЕМ'!H7</f>
        <v>0</v>
      </c>
      <c r="G45" s="124">
        <f>'ФИН ЗАЕМ'!I7</f>
        <v>0</v>
      </c>
      <c r="H45" s="124">
        <f>'ФИН ЗАЕМ'!J7</f>
        <v>0</v>
      </c>
      <c r="I45" s="124">
        <f>'ФИН ЗАЕМ'!K7</f>
        <v>0</v>
      </c>
      <c r="J45" s="124">
        <f>'ФИН ЗАЕМ'!L7</f>
        <v>6125000</v>
      </c>
      <c r="K45" s="124">
        <f>'ФИН ЗАЕМ'!M7</f>
        <v>5687500</v>
      </c>
      <c r="L45" s="124">
        <f>'ФИН ЗАЕМ'!N7</f>
        <v>5687500</v>
      </c>
      <c r="M45" s="124">
        <f>'ФИН ЗАЕМ'!O7</f>
        <v>6125000</v>
      </c>
      <c r="N45" s="124">
        <f>'ФИН ЗАЕМ'!P7</f>
        <v>5687500</v>
      </c>
      <c r="O45" s="124">
        <f>'ФИН ЗАЕМ'!Q7</f>
        <v>5687500</v>
      </c>
      <c r="P45" s="123">
        <f t="shared" si="2"/>
        <v>35000000</v>
      </c>
      <c r="Q45" s="124">
        <f>'ФИН ЗАЕМ'!S7</f>
        <v>6125000</v>
      </c>
      <c r="R45" s="124">
        <f>'ФИН ЗАЕМ'!T7</f>
        <v>5687500</v>
      </c>
      <c r="S45" s="124">
        <f>'ФИН ЗАЕМ'!U7</f>
        <v>5687500</v>
      </c>
      <c r="T45" s="124">
        <f>'ФИН ЗАЕМ'!V7</f>
        <v>6125000</v>
      </c>
      <c r="U45" s="124">
        <f>'ФИН ЗАЕМ'!W7</f>
        <v>5687500</v>
      </c>
      <c r="V45" s="124">
        <f>'ФИН ЗАЕМ'!X7</f>
        <v>5687500</v>
      </c>
      <c r="W45" s="124">
        <f>'ФИН ЗАЕМ'!Y7</f>
        <v>0</v>
      </c>
      <c r="X45" s="124">
        <f>'ФИН ЗАЕМ'!Z7</f>
        <v>0</v>
      </c>
      <c r="Y45" s="124">
        <f>'ФИН ЗАЕМ'!AA7</f>
        <v>0</v>
      </c>
      <c r="Z45" s="124">
        <f>'ФИН ЗАЕМ'!AB7</f>
        <v>0</v>
      </c>
      <c r="AA45" s="124">
        <f>'ФИН ЗАЕМ'!AC7</f>
        <v>0</v>
      </c>
      <c r="AB45" s="124">
        <f>'ФИН ЗАЕМ'!AD7</f>
        <v>0</v>
      </c>
      <c r="AC45" s="123">
        <f t="shared" si="4"/>
        <v>0</v>
      </c>
      <c r="AD45" s="124">
        <f>'ФИН ЗАЕМ'!AF7</f>
        <v>0</v>
      </c>
      <c r="AE45" s="124">
        <f>'ФИН ЗАЕМ'!AG7</f>
        <v>0</v>
      </c>
      <c r="AF45" s="124">
        <f>'ФИН ЗАЕМ'!AH7</f>
        <v>0</v>
      </c>
      <c r="AG45" s="124">
        <f>'ФИН ЗАЕМ'!AI7</f>
        <v>0</v>
      </c>
      <c r="AH45" s="124">
        <f>'ФИН ЗАЕМ'!AJ7</f>
        <v>0</v>
      </c>
      <c r="AI45" s="124">
        <f>'ФИН ЗАЕМ'!AK7</f>
        <v>0</v>
      </c>
      <c r="AJ45" s="124">
        <f>'ФИН ЗАЕМ'!AL7</f>
        <v>0</v>
      </c>
      <c r="AK45" s="124">
        <f>'ФИН ЗАЕМ'!AM7</f>
        <v>0</v>
      </c>
      <c r="AL45" s="124">
        <f>'ФИН ЗАЕМ'!AN7</f>
        <v>0</v>
      </c>
      <c r="AM45" s="124">
        <f>'ФИН ЗАЕМ'!AO7</f>
        <v>0</v>
      </c>
      <c r="AN45" s="124">
        <f>'ФИН ЗАЕМ'!AP7</f>
        <v>0</v>
      </c>
      <c r="AO45" s="124">
        <f>'ФИН ЗАЕМ'!AQ7</f>
        <v>0</v>
      </c>
    </row>
    <row r="46" spans="1:41" ht="26.25" customHeight="1" x14ac:dyDescent="0.3">
      <c r="A46" s="116" t="s">
        <v>157</v>
      </c>
      <c r="B46" s="120">
        <f>C46/C7*100%</f>
        <v>0.12142229920559583</v>
      </c>
      <c r="C46" s="77">
        <f t="shared" si="0"/>
        <v>180530674.45887989</v>
      </c>
      <c r="D46" s="77">
        <f t="shared" ref="D46:O46" si="94">D7-D11</f>
        <v>0</v>
      </c>
      <c r="E46" s="77">
        <f t="shared" si="94"/>
        <v>0</v>
      </c>
      <c r="F46" s="77">
        <f t="shared" si="94"/>
        <v>0</v>
      </c>
      <c r="G46" s="77">
        <f t="shared" si="94"/>
        <v>-6596000</v>
      </c>
      <c r="H46" s="77">
        <f t="shared" si="94"/>
        <v>-789645.12511999905</v>
      </c>
      <c r="I46" s="77">
        <f t="shared" si="94"/>
        <v>17008238.559999987</v>
      </c>
      <c r="J46" s="77">
        <f t="shared" si="94"/>
        <v>20324933.983999997</v>
      </c>
      <c r="K46" s="77">
        <f t="shared" si="94"/>
        <v>25483281.69599998</v>
      </c>
      <c r="L46" s="77">
        <f t="shared" si="94"/>
        <v>20762433.983999997</v>
      </c>
      <c r="M46" s="77">
        <f t="shared" si="94"/>
        <v>34487477.119999975</v>
      </c>
      <c r="N46" s="77">
        <f t="shared" si="94"/>
        <v>34924977.119999975</v>
      </c>
      <c r="O46" s="77">
        <f t="shared" si="94"/>
        <v>34924977.119999975</v>
      </c>
      <c r="P46" s="77">
        <f t="shared" si="2"/>
        <v>675297335.87199938</v>
      </c>
      <c r="Q46" s="77">
        <f t="shared" ref="Q46:AB46" si="95">Q7-Q11</f>
        <v>27241477.119999975</v>
      </c>
      <c r="R46" s="77">
        <f t="shared" si="95"/>
        <v>38208472.54399997</v>
      </c>
      <c r="S46" s="77">
        <f t="shared" si="95"/>
        <v>54002715.679999948</v>
      </c>
      <c r="T46" s="77">
        <f t="shared" si="95"/>
        <v>53565215.679999948</v>
      </c>
      <c r="U46" s="77">
        <f t="shared" si="95"/>
        <v>54002715.679999948</v>
      </c>
      <c r="V46" s="77">
        <f t="shared" si="95"/>
        <v>56252715.679999948</v>
      </c>
      <c r="W46" s="77">
        <f t="shared" si="95"/>
        <v>49160720.255999982</v>
      </c>
      <c r="X46" s="77">
        <f t="shared" si="95"/>
        <v>43895972.54399997</v>
      </c>
      <c r="Y46" s="77">
        <f t="shared" si="95"/>
        <v>57440215.679999948</v>
      </c>
      <c r="Z46" s="77">
        <f t="shared" si="95"/>
        <v>67969711.103999972</v>
      </c>
      <c r="AA46" s="77">
        <f t="shared" si="95"/>
        <v>81513954.23999995</v>
      </c>
      <c r="AB46" s="77">
        <f t="shared" si="95"/>
        <v>92043449.663999915</v>
      </c>
      <c r="AC46" s="77">
        <f t="shared" si="4"/>
        <v>2520557411.5199986</v>
      </c>
      <c r="AD46" s="77">
        <f t="shared" ref="AD46:AO46" si="96">AD7-AD11</f>
        <v>100758692.79999995</v>
      </c>
      <c r="AE46" s="77">
        <f t="shared" si="96"/>
        <v>98508692.799999952</v>
      </c>
      <c r="AF46" s="77">
        <f t="shared" si="96"/>
        <v>106788188.22399998</v>
      </c>
      <c r="AG46" s="77">
        <f t="shared" si="96"/>
        <v>133111926.78399992</v>
      </c>
      <c r="AH46" s="77">
        <f t="shared" si="96"/>
        <v>144406169.91999996</v>
      </c>
      <c r="AI46" s="77">
        <f t="shared" si="96"/>
        <v>163215160.76799989</v>
      </c>
      <c r="AJ46" s="77">
        <f t="shared" si="96"/>
        <v>200833142.46399999</v>
      </c>
      <c r="AK46" s="77">
        <f t="shared" si="96"/>
        <v>235436376.44799995</v>
      </c>
      <c r="AL46" s="77">
        <f t="shared" si="96"/>
        <v>273054358.14399958</v>
      </c>
      <c r="AM46" s="77">
        <f t="shared" si="96"/>
        <v>305407592.12799978</v>
      </c>
      <c r="AN46" s="77">
        <f t="shared" si="96"/>
        <v>351305069.24799967</v>
      </c>
      <c r="AO46" s="77">
        <f t="shared" si="96"/>
        <v>407732041.79199982</v>
      </c>
    </row>
    <row r="47" spans="1:41" ht="21" customHeight="1" x14ac:dyDescent="0.3">
      <c r="A47" s="131" t="s">
        <v>158</v>
      </c>
      <c r="B47" s="132">
        <f>C47/C7*100%</f>
        <v>0.04</v>
      </c>
      <c r="C47" s="133">
        <f t="shared" si="0"/>
        <v>59472000</v>
      </c>
      <c r="D47" s="133">
        <f t="shared" ref="D47:O47" si="97">D7*4%</f>
        <v>0</v>
      </c>
      <c r="E47" s="133">
        <f t="shared" si="97"/>
        <v>0</v>
      </c>
      <c r="F47" s="133">
        <f t="shared" si="97"/>
        <v>0</v>
      </c>
      <c r="G47" s="133">
        <f t="shared" si="97"/>
        <v>0</v>
      </c>
      <c r="H47" s="133">
        <f t="shared" si="97"/>
        <v>2016000</v>
      </c>
      <c r="I47" s="133">
        <f t="shared" si="97"/>
        <v>5039999.9999999991</v>
      </c>
      <c r="J47" s="133">
        <f t="shared" si="97"/>
        <v>7055999.9999999991</v>
      </c>
      <c r="K47" s="133">
        <f t="shared" si="97"/>
        <v>8064000</v>
      </c>
      <c r="L47" s="133">
        <f t="shared" si="97"/>
        <v>7055999.9999999991</v>
      </c>
      <c r="M47" s="133">
        <f t="shared" si="97"/>
        <v>10079999.999999998</v>
      </c>
      <c r="N47" s="133">
        <f t="shared" si="97"/>
        <v>10079999.999999998</v>
      </c>
      <c r="O47" s="133">
        <f t="shared" si="97"/>
        <v>10079999.999999998</v>
      </c>
      <c r="P47" s="133">
        <f t="shared" si="2"/>
        <v>182448000</v>
      </c>
      <c r="Q47" s="133">
        <f t="shared" ref="Q47:AB47" si="98">Q7*4%</f>
        <v>10079999.999999998</v>
      </c>
      <c r="R47" s="133">
        <f t="shared" si="98"/>
        <v>12096000</v>
      </c>
      <c r="S47" s="133">
        <f t="shared" si="98"/>
        <v>15119999.999999998</v>
      </c>
      <c r="T47" s="133">
        <f t="shared" si="98"/>
        <v>15119999.999999998</v>
      </c>
      <c r="U47" s="133">
        <f t="shared" si="98"/>
        <v>15119999.999999998</v>
      </c>
      <c r="V47" s="133">
        <f t="shared" si="98"/>
        <v>15119999.999999998</v>
      </c>
      <c r="W47" s="133">
        <f t="shared" si="98"/>
        <v>13103999.999999998</v>
      </c>
      <c r="X47" s="133">
        <f t="shared" si="98"/>
        <v>12096000</v>
      </c>
      <c r="Y47" s="133">
        <f t="shared" si="98"/>
        <v>15119999.999999998</v>
      </c>
      <c r="Z47" s="133">
        <f t="shared" si="98"/>
        <v>17135999.999999996</v>
      </c>
      <c r="AA47" s="133">
        <f t="shared" si="98"/>
        <v>20159999.999999996</v>
      </c>
      <c r="AB47" s="133">
        <f t="shared" si="98"/>
        <v>22176000</v>
      </c>
      <c r="AC47" s="133">
        <f t="shared" si="4"/>
        <v>589680000</v>
      </c>
      <c r="AD47" s="133">
        <f t="shared" ref="AD47:AO47" si="99">AD7*4%</f>
        <v>25199999.999999996</v>
      </c>
      <c r="AE47" s="133">
        <f t="shared" si="99"/>
        <v>25199999.999999996</v>
      </c>
      <c r="AF47" s="133">
        <f t="shared" si="99"/>
        <v>27216000</v>
      </c>
      <c r="AG47" s="133">
        <f t="shared" si="99"/>
        <v>32256000</v>
      </c>
      <c r="AH47" s="133">
        <f t="shared" si="99"/>
        <v>35279999.999999993</v>
      </c>
      <c r="AI47" s="133">
        <f t="shared" si="99"/>
        <v>39312000</v>
      </c>
      <c r="AJ47" s="133">
        <f t="shared" si="99"/>
        <v>47375999.999999993</v>
      </c>
      <c r="AK47" s="133">
        <f t="shared" si="99"/>
        <v>54432000</v>
      </c>
      <c r="AL47" s="133">
        <f t="shared" si="99"/>
        <v>62495999.999999985</v>
      </c>
      <c r="AM47" s="133">
        <f t="shared" si="99"/>
        <v>69552000</v>
      </c>
      <c r="AN47" s="133">
        <f t="shared" si="99"/>
        <v>79631999.999999985</v>
      </c>
      <c r="AO47" s="133">
        <f t="shared" si="99"/>
        <v>91727999.999999985</v>
      </c>
    </row>
    <row r="48" spans="1:41" ht="26.25" customHeight="1" x14ac:dyDescent="0.3">
      <c r="A48" s="116" t="s">
        <v>159</v>
      </c>
      <c r="B48" s="120">
        <f>C48/$C$7*100%</f>
        <v>8.1422299205595836E-2</v>
      </c>
      <c r="C48" s="77">
        <f t="shared" si="0"/>
        <v>121058674.45887989</v>
      </c>
      <c r="D48" s="77">
        <f t="shared" ref="D48:O48" si="100">D46-D47</f>
        <v>0</v>
      </c>
      <c r="E48" s="77">
        <f t="shared" si="100"/>
        <v>0</v>
      </c>
      <c r="F48" s="77">
        <f t="shared" si="100"/>
        <v>0</v>
      </c>
      <c r="G48" s="77">
        <f t="shared" si="100"/>
        <v>-6596000</v>
      </c>
      <c r="H48" s="77">
        <f t="shared" si="100"/>
        <v>-2805645.1251199991</v>
      </c>
      <c r="I48" s="77">
        <f t="shared" si="100"/>
        <v>11968238.559999987</v>
      </c>
      <c r="J48" s="77">
        <f t="shared" si="100"/>
        <v>13268933.983999997</v>
      </c>
      <c r="K48" s="77">
        <f t="shared" si="100"/>
        <v>17419281.69599998</v>
      </c>
      <c r="L48" s="77">
        <f t="shared" si="100"/>
        <v>13706433.983999997</v>
      </c>
      <c r="M48" s="77">
        <f t="shared" si="100"/>
        <v>24407477.119999975</v>
      </c>
      <c r="N48" s="77">
        <f t="shared" si="100"/>
        <v>24844977.119999975</v>
      </c>
      <c r="O48" s="77">
        <f t="shared" si="100"/>
        <v>24844977.119999975</v>
      </c>
      <c r="P48" s="77">
        <f t="shared" si="2"/>
        <v>492849335.87199944</v>
      </c>
      <c r="Q48" s="77">
        <f t="shared" ref="Q48:AB48" si="101">Q46-Q47</f>
        <v>17161477.119999975</v>
      </c>
      <c r="R48" s="77">
        <f t="shared" si="101"/>
        <v>26112472.54399997</v>
      </c>
      <c r="S48" s="77">
        <f t="shared" si="101"/>
        <v>38882715.679999948</v>
      </c>
      <c r="T48" s="77">
        <f t="shared" si="101"/>
        <v>38445215.679999948</v>
      </c>
      <c r="U48" s="77">
        <f t="shared" si="101"/>
        <v>38882715.679999948</v>
      </c>
      <c r="V48" s="77">
        <f t="shared" si="101"/>
        <v>41132715.679999948</v>
      </c>
      <c r="W48" s="77">
        <f t="shared" si="101"/>
        <v>36056720.255999982</v>
      </c>
      <c r="X48" s="77">
        <f t="shared" si="101"/>
        <v>31799972.54399997</v>
      </c>
      <c r="Y48" s="77">
        <f t="shared" si="101"/>
        <v>42320215.679999948</v>
      </c>
      <c r="Z48" s="77">
        <f t="shared" si="101"/>
        <v>50833711.103999972</v>
      </c>
      <c r="AA48" s="77">
        <f t="shared" si="101"/>
        <v>61353954.23999995</v>
      </c>
      <c r="AB48" s="77">
        <f t="shared" si="101"/>
        <v>69867449.663999915</v>
      </c>
      <c r="AC48" s="77">
        <f t="shared" si="4"/>
        <v>1930877411.5199986</v>
      </c>
      <c r="AD48" s="77">
        <f t="shared" ref="AD48:AO48" si="102">AD46-AD47</f>
        <v>75558692.799999952</v>
      </c>
      <c r="AE48" s="77">
        <f t="shared" si="102"/>
        <v>73308692.799999952</v>
      </c>
      <c r="AF48" s="77">
        <f t="shared" si="102"/>
        <v>79572188.223999977</v>
      </c>
      <c r="AG48" s="77">
        <f t="shared" si="102"/>
        <v>100855926.78399992</v>
      </c>
      <c r="AH48" s="77">
        <f t="shared" si="102"/>
        <v>109126169.91999996</v>
      </c>
      <c r="AI48" s="77">
        <f t="shared" si="102"/>
        <v>123903160.76799989</v>
      </c>
      <c r="AJ48" s="77">
        <f t="shared" si="102"/>
        <v>153457142.46399999</v>
      </c>
      <c r="AK48" s="77">
        <f t="shared" si="102"/>
        <v>181004376.44799995</v>
      </c>
      <c r="AL48" s="77">
        <f t="shared" si="102"/>
        <v>210558358.14399958</v>
      </c>
      <c r="AM48" s="77">
        <f t="shared" si="102"/>
        <v>235855592.12799978</v>
      </c>
      <c r="AN48" s="77">
        <f t="shared" si="102"/>
        <v>271673069.24799967</v>
      </c>
      <c r="AO48" s="77">
        <f t="shared" si="102"/>
        <v>316004041.79199982</v>
      </c>
    </row>
    <row r="49" spans="1:41" ht="17.25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17.25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7.25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17.25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17.25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17.25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ht="17.25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ht="17.25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7.25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17.25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ht="17.25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ht="17.25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ht="17.25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ht="17.25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ht="17.25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ht="17.25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ht="17.25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ht="17.25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ht="17.25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ht="17.25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ht="17.25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ht="17.25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ht="17.25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ht="17.25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ht="17.25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ht="17.25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ht="17.25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ht="17.25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ht="17.25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ht="17.25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ht="17.25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ht="17.25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ht="17.25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ht="17.25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ht="17.25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1:41" ht="17.25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ht="17.25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1:41" ht="17.25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ht="17.25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ht="17.25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ht="17.25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ht="17.25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ht="17.25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ht="17.25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ht="17.25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ht="17.25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ht="17.25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ht="17.25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ht="17.25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ht="17.25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ht="17.25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ht="17.25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ht="17.25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ht="17.25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ht="17.25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ht="17.25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ht="17.25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ht="17.25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ht="17.25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ht="17.25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ht="17.25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ht="17.25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ht="17.25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ht="17.25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ht="17.25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ht="17.25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ht="17.25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ht="17.25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ht="17.25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ht="17.25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ht="17.25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ht="17.25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ht="17.25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ht="17.25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ht="17.25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ht="17.25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ht="17.25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ht="17.25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1:41" ht="17.25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ht="17.25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ht="17.25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ht="17.25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ht="17.25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ht="17.25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ht="17.25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ht="17.25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ht="17.25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ht="17.25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ht="17.25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ht="17.25" x14ac:dyDescent="0.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ht="17.25" x14ac:dyDescent="0.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1:41" ht="17.25" x14ac:dyDescent="0.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ht="17.25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ht="17.25" x14ac:dyDescent="0.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1:41" ht="17.25" x14ac:dyDescent="0.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1:41" ht="17.25" x14ac:dyDescent="0.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ht="17.25" x14ac:dyDescent="0.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1:41" ht="17.25" x14ac:dyDescent="0.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ht="17.25" x14ac:dyDescent="0.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</row>
    <row r="148" spans="1:41" ht="17.25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</row>
    <row r="149" spans="1:41" ht="17.25" x14ac:dyDescent="0.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1:41" ht="17.25" x14ac:dyDescent="0.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1:41" ht="17.25" x14ac:dyDescent="0.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</row>
    <row r="152" spans="1:41" ht="17.25" x14ac:dyDescent="0.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</row>
    <row r="153" spans="1:41" ht="17.25" x14ac:dyDescent="0.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</row>
    <row r="154" spans="1:41" ht="17.25" x14ac:dyDescent="0.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</row>
    <row r="155" spans="1:41" ht="17.25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ht="17.25" x14ac:dyDescent="0.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1:41" ht="17.25" x14ac:dyDescent="0.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</row>
    <row r="158" spans="1:41" ht="17.25" x14ac:dyDescent="0.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1:41" ht="17.25" x14ac:dyDescent="0.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1:41" ht="17.25" x14ac:dyDescent="0.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</row>
    <row r="161" spans="1:41" ht="17.25" x14ac:dyDescent="0.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</row>
    <row r="162" spans="1:41" ht="17.25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1:41" ht="17.25" x14ac:dyDescent="0.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1:41" ht="17.25" x14ac:dyDescent="0.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</row>
    <row r="165" spans="1:41" ht="17.25" x14ac:dyDescent="0.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</row>
    <row r="166" spans="1:41" ht="17.25" x14ac:dyDescent="0.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</row>
    <row r="167" spans="1:41" ht="17.25" x14ac:dyDescent="0.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1:41" ht="17.25" x14ac:dyDescent="0.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</row>
    <row r="169" spans="1:41" ht="17.25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</row>
    <row r="170" spans="1:41" ht="17.25" x14ac:dyDescent="0.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</row>
    <row r="171" spans="1:41" ht="17.25" x14ac:dyDescent="0.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1:41" ht="17.25" x14ac:dyDescent="0.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41" ht="17.25" x14ac:dyDescent="0.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1:41" ht="17.25" x14ac:dyDescent="0.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ht="17.25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ht="17.25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41" ht="17.25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1:41" ht="17.25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1:41" ht="17.25" x14ac:dyDescent="0.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1:41" ht="17.25" x14ac:dyDescent="0.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</row>
    <row r="181" spans="1:41" ht="17.25" x14ac:dyDescent="0.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1:41" ht="17.25" x14ac:dyDescent="0.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1:41" ht="17.25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</row>
    <row r="184" spans="1:41" ht="17.25" x14ac:dyDescent="0.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</row>
    <row r="185" spans="1:41" ht="17.25" x14ac:dyDescent="0.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</row>
    <row r="186" spans="1:41" ht="17.25" x14ac:dyDescent="0.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1:41" ht="17.25" x14ac:dyDescent="0.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</row>
    <row r="188" spans="1:41" ht="17.25" x14ac:dyDescent="0.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1:41" ht="17.25" x14ac:dyDescent="0.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1:41" ht="17.25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</row>
    <row r="191" spans="1:41" ht="17.25" x14ac:dyDescent="0.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</row>
    <row r="192" spans="1:41" ht="17.25" x14ac:dyDescent="0.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</row>
    <row r="193" spans="1:41" ht="17.25" x14ac:dyDescent="0.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</row>
    <row r="194" spans="1:41" ht="17.25" x14ac:dyDescent="0.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ht="17.25" x14ac:dyDescent="0.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</row>
    <row r="196" spans="1:41" ht="17.25" x14ac:dyDescent="0.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</row>
    <row r="197" spans="1:41" ht="17.25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</row>
    <row r="198" spans="1:41" ht="17.25" x14ac:dyDescent="0.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</row>
    <row r="199" spans="1:41" ht="17.25" x14ac:dyDescent="0.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</row>
    <row r="200" spans="1:41" ht="17.25" x14ac:dyDescent="0.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1:41" ht="17.25" x14ac:dyDescent="0.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1:41" ht="17.25" x14ac:dyDescent="0.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ht="17.25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1:41" ht="17.25" x14ac:dyDescent="0.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</row>
    <row r="205" spans="1:41" ht="17.25" x14ac:dyDescent="0.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1:41" ht="17.25" x14ac:dyDescent="0.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ht="17.25" x14ac:dyDescent="0.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</row>
    <row r="208" spans="1:41" ht="17.25" x14ac:dyDescent="0.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1:41" ht="17.25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</row>
    <row r="210" spans="1:41" ht="17.25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</row>
    <row r="211" spans="1:41" ht="17.25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</row>
    <row r="212" spans="1:41" ht="17.25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1:41" ht="17.25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</row>
    <row r="214" spans="1:41" ht="17.25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ht="17.25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</row>
    <row r="216" spans="1:41" ht="17.25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1:41" ht="17.25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</row>
    <row r="218" spans="1:41" ht="17.25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1:41" ht="17.25" x14ac:dyDescent="0.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</row>
    <row r="220" spans="1:41" ht="17.25" x14ac:dyDescent="0.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</row>
    <row r="221" spans="1:41" ht="17.25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1:41" ht="17.25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</row>
    <row r="223" spans="1:41" ht="17.25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</row>
    <row r="224" spans="1:41" ht="17.25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1:41" ht="17.25" x14ac:dyDescent="0.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1:41" ht="17.25" x14ac:dyDescent="0.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1:41" ht="17.25" x14ac:dyDescent="0.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1:41" ht="17.25" x14ac:dyDescent="0.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</row>
    <row r="229" spans="1:41" ht="17.25" x14ac:dyDescent="0.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1:41" ht="17.25" x14ac:dyDescent="0.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1:41" ht="17.25" x14ac:dyDescent="0.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1:41" ht="17.25" x14ac:dyDescent="0.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1:41" ht="17.25" x14ac:dyDescent="0.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1:41" ht="17.25" x14ac:dyDescent="0.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</row>
    <row r="235" spans="1:41" ht="17.25" x14ac:dyDescent="0.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</row>
    <row r="236" spans="1:41" ht="17.25" x14ac:dyDescent="0.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</row>
    <row r="237" spans="1:41" ht="17.25" x14ac:dyDescent="0.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</row>
    <row r="238" spans="1:41" ht="17.25" x14ac:dyDescent="0.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</row>
    <row r="239" spans="1:41" ht="17.25" x14ac:dyDescent="0.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</row>
    <row r="240" spans="1:41" ht="17.25" x14ac:dyDescent="0.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</row>
    <row r="241" spans="1:41" ht="17.25" x14ac:dyDescent="0.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</row>
    <row r="242" spans="1:41" ht="17.25" x14ac:dyDescent="0.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1:41" ht="17.25" x14ac:dyDescent="0.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</row>
    <row r="244" spans="1:41" ht="17.25" x14ac:dyDescent="0.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1:41" ht="17.25" x14ac:dyDescent="0.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</row>
    <row r="246" spans="1:41" ht="17.25" x14ac:dyDescent="0.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</row>
    <row r="247" spans="1:41" ht="17.25" x14ac:dyDescent="0.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</row>
    <row r="248" spans="1:41" ht="17.25" x14ac:dyDescent="0.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1:41" ht="17.25" x14ac:dyDescent="0.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</row>
    <row r="250" spans="1:41" ht="17.25" x14ac:dyDescent="0.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</row>
    <row r="251" spans="1:41" ht="17.25" x14ac:dyDescent="0.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</row>
    <row r="252" spans="1:41" ht="17.25" x14ac:dyDescent="0.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</row>
    <row r="253" spans="1:41" ht="17.25" x14ac:dyDescent="0.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</row>
    <row r="254" spans="1:41" ht="17.25" x14ac:dyDescent="0.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</row>
    <row r="255" spans="1:41" ht="17.25" x14ac:dyDescent="0.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</row>
    <row r="256" spans="1:41" ht="17.25" x14ac:dyDescent="0.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1:41" ht="17.25" x14ac:dyDescent="0.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</row>
    <row r="258" spans="1:41" ht="17.25" x14ac:dyDescent="0.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</row>
    <row r="259" spans="1:41" ht="17.25" x14ac:dyDescent="0.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1:41" ht="17.25" x14ac:dyDescent="0.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</row>
    <row r="261" spans="1:41" ht="17.25" x14ac:dyDescent="0.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</row>
    <row r="262" spans="1:41" ht="17.25" x14ac:dyDescent="0.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</row>
    <row r="263" spans="1:41" ht="17.25" x14ac:dyDescent="0.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</row>
    <row r="264" spans="1:41" ht="17.25" x14ac:dyDescent="0.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1:41" ht="17.25" x14ac:dyDescent="0.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</row>
    <row r="266" spans="1:41" ht="17.25" x14ac:dyDescent="0.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1:41" ht="17.25" x14ac:dyDescent="0.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</row>
    <row r="268" spans="1:41" ht="17.25" x14ac:dyDescent="0.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1:41" ht="17.25" x14ac:dyDescent="0.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</row>
    <row r="270" spans="1:41" ht="17.25" x14ac:dyDescent="0.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</row>
    <row r="271" spans="1:41" ht="17.25" x14ac:dyDescent="0.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</row>
    <row r="272" spans="1:41" ht="17.25" x14ac:dyDescent="0.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</row>
    <row r="273" spans="1:41" ht="17.25" x14ac:dyDescent="0.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</row>
    <row r="274" spans="1:41" ht="17.25" x14ac:dyDescent="0.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</row>
    <row r="275" spans="1:41" ht="17.25" x14ac:dyDescent="0.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1:41" ht="17.25" x14ac:dyDescent="0.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1:41" ht="17.25" x14ac:dyDescent="0.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</row>
    <row r="278" spans="1:41" ht="17.25" x14ac:dyDescent="0.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</row>
    <row r="279" spans="1:41" ht="17.25" x14ac:dyDescent="0.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</row>
    <row r="280" spans="1:41" ht="17.25" x14ac:dyDescent="0.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</row>
    <row r="281" spans="1:41" ht="17.25" x14ac:dyDescent="0.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1:41" ht="17.25" x14ac:dyDescent="0.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</row>
    <row r="283" spans="1:41" ht="17.25" x14ac:dyDescent="0.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</row>
    <row r="284" spans="1:41" ht="17.25" x14ac:dyDescent="0.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</row>
    <row r="285" spans="1:41" ht="17.25" x14ac:dyDescent="0.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</row>
    <row r="286" spans="1:41" ht="17.25" x14ac:dyDescent="0.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</row>
    <row r="287" spans="1:41" ht="17.25" x14ac:dyDescent="0.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1:41" ht="17.25" x14ac:dyDescent="0.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</row>
    <row r="289" spans="1:41" ht="17.25" x14ac:dyDescent="0.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</row>
    <row r="290" spans="1:41" ht="17.25" x14ac:dyDescent="0.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</row>
    <row r="291" spans="1:41" ht="17.25" x14ac:dyDescent="0.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</row>
    <row r="292" spans="1:41" ht="17.25" x14ac:dyDescent="0.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</row>
    <row r="293" spans="1:41" ht="17.25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1:41" ht="17.25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</row>
    <row r="295" spans="1:41" ht="17.25" x14ac:dyDescent="0.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</row>
    <row r="296" spans="1:41" ht="17.25" x14ac:dyDescent="0.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</row>
    <row r="297" spans="1:41" ht="17.25" x14ac:dyDescent="0.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</row>
    <row r="298" spans="1:41" ht="17.25" x14ac:dyDescent="0.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  <row r="299" spans="1:41" ht="17.25" x14ac:dyDescent="0.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</row>
    <row r="300" spans="1:41" ht="17.25" x14ac:dyDescent="0.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</row>
    <row r="301" spans="1:41" ht="17.25" x14ac:dyDescent="0.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</row>
    <row r="302" spans="1:41" ht="17.25" x14ac:dyDescent="0.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</row>
    <row r="303" spans="1:41" ht="17.25" x14ac:dyDescent="0.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</row>
    <row r="304" spans="1:41" ht="17.25" x14ac:dyDescent="0.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</row>
    <row r="305" spans="1:41" ht="17.25" x14ac:dyDescent="0.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</row>
    <row r="306" spans="1:41" ht="17.25" x14ac:dyDescent="0.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</row>
    <row r="307" spans="1:41" ht="17.25" x14ac:dyDescent="0.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</row>
    <row r="308" spans="1:41" ht="17.25" x14ac:dyDescent="0.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</row>
    <row r="309" spans="1:41" ht="17.25" x14ac:dyDescent="0.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</row>
    <row r="310" spans="1:41" ht="17.25" x14ac:dyDescent="0.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</row>
    <row r="311" spans="1:41" ht="17.25" x14ac:dyDescent="0.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</row>
    <row r="312" spans="1:41" ht="17.25" x14ac:dyDescent="0.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</row>
    <row r="313" spans="1:41" ht="17.25" x14ac:dyDescent="0.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</row>
    <row r="314" spans="1:41" ht="17.25" x14ac:dyDescent="0.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</row>
    <row r="315" spans="1:41" ht="17.25" x14ac:dyDescent="0.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</row>
    <row r="316" spans="1:41" ht="17.25" x14ac:dyDescent="0.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</row>
    <row r="317" spans="1:41" ht="17.25" x14ac:dyDescent="0.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</row>
    <row r="318" spans="1:41" ht="17.25" x14ac:dyDescent="0.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</row>
    <row r="319" spans="1:41" ht="17.25" x14ac:dyDescent="0.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</row>
    <row r="320" spans="1:41" ht="17.25" x14ac:dyDescent="0.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</row>
    <row r="321" spans="1:41" ht="17.25" x14ac:dyDescent="0.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</row>
    <row r="322" spans="1:41" ht="17.25" x14ac:dyDescent="0.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</row>
    <row r="323" spans="1:41" ht="17.25" x14ac:dyDescent="0.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</row>
    <row r="324" spans="1:41" ht="17.25" x14ac:dyDescent="0.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</row>
    <row r="325" spans="1:41" ht="17.25" x14ac:dyDescent="0.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</row>
    <row r="326" spans="1:41" ht="17.25" x14ac:dyDescent="0.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</row>
    <row r="327" spans="1:41" ht="17.25" x14ac:dyDescent="0.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</row>
    <row r="328" spans="1:41" ht="17.25" x14ac:dyDescent="0.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</row>
    <row r="329" spans="1:41" ht="17.25" x14ac:dyDescent="0.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</row>
    <row r="330" spans="1:41" ht="17.25" x14ac:dyDescent="0.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</row>
    <row r="331" spans="1:41" ht="17.25" x14ac:dyDescent="0.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</row>
    <row r="332" spans="1:41" ht="17.25" x14ac:dyDescent="0.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</row>
    <row r="333" spans="1:41" ht="17.25" x14ac:dyDescent="0.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</row>
    <row r="334" spans="1:41" ht="17.25" x14ac:dyDescent="0.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</row>
    <row r="335" spans="1:41" ht="17.25" x14ac:dyDescent="0.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</row>
    <row r="336" spans="1:41" ht="17.25" x14ac:dyDescent="0.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</row>
    <row r="337" spans="1:41" ht="17.25" x14ac:dyDescent="0.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</row>
    <row r="338" spans="1:41" ht="17.25" x14ac:dyDescent="0.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</row>
    <row r="339" spans="1:41" ht="17.25" x14ac:dyDescent="0.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</row>
    <row r="340" spans="1:41" ht="17.25" x14ac:dyDescent="0.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</row>
    <row r="341" spans="1:41" ht="17.25" x14ac:dyDescent="0.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</row>
    <row r="342" spans="1:41" ht="17.25" x14ac:dyDescent="0.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</row>
    <row r="343" spans="1:41" ht="17.25" x14ac:dyDescent="0.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</row>
    <row r="344" spans="1:41" ht="17.25" x14ac:dyDescent="0.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</row>
    <row r="345" spans="1:41" ht="17.25" x14ac:dyDescent="0.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</row>
    <row r="346" spans="1:41" ht="17.25" x14ac:dyDescent="0.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</row>
    <row r="347" spans="1:41" ht="17.25" x14ac:dyDescent="0.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</row>
    <row r="348" spans="1:41" ht="17.25" x14ac:dyDescent="0.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</row>
    <row r="349" spans="1:41" ht="17.25" x14ac:dyDescent="0.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</row>
    <row r="350" spans="1:41" ht="17.25" x14ac:dyDescent="0.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</row>
    <row r="351" spans="1:41" ht="17.25" x14ac:dyDescent="0.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</row>
    <row r="352" spans="1:41" ht="17.25" x14ac:dyDescent="0.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</row>
    <row r="353" spans="1:41" ht="17.25" x14ac:dyDescent="0.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</row>
    <row r="354" spans="1:41" ht="17.25" x14ac:dyDescent="0.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</row>
    <row r="355" spans="1:41" ht="17.25" x14ac:dyDescent="0.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</row>
    <row r="356" spans="1:41" ht="17.25" x14ac:dyDescent="0.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</row>
    <row r="357" spans="1:41" ht="17.25" x14ac:dyDescent="0.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</row>
    <row r="358" spans="1:41" ht="17.25" x14ac:dyDescent="0.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</row>
    <row r="359" spans="1:41" ht="17.25" x14ac:dyDescent="0.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</row>
    <row r="360" spans="1:41" ht="17.25" x14ac:dyDescent="0.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</row>
    <row r="361" spans="1:41" ht="17.25" x14ac:dyDescent="0.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</row>
    <row r="362" spans="1:41" ht="17.25" x14ac:dyDescent="0.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</row>
    <row r="363" spans="1:41" ht="17.25" x14ac:dyDescent="0.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</row>
    <row r="364" spans="1:41" ht="17.25" x14ac:dyDescent="0.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</row>
    <row r="365" spans="1:41" ht="17.25" x14ac:dyDescent="0.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</row>
    <row r="366" spans="1:41" ht="17.25" x14ac:dyDescent="0.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</row>
    <row r="367" spans="1:41" ht="17.25" x14ac:dyDescent="0.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</row>
    <row r="368" spans="1:41" ht="17.25" x14ac:dyDescent="0.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</row>
    <row r="369" spans="1:41" ht="17.25" x14ac:dyDescent="0.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</row>
    <row r="370" spans="1:41" ht="17.25" x14ac:dyDescent="0.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</row>
    <row r="371" spans="1:41" ht="17.25" x14ac:dyDescent="0.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</row>
    <row r="372" spans="1:41" ht="17.25" x14ac:dyDescent="0.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</row>
    <row r="373" spans="1:41" ht="17.25" x14ac:dyDescent="0.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</row>
    <row r="374" spans="1:41" ht="17.25" x14ac:dyDescent="0.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</row>
    <row r="375" spans="1:41" ht="17.25" x14ac:dyDescent="0.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</row>
    <row r="376" spans="1:41" ht="17.25" x14ac:dyDescent="0.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</row>
    <row r="377" spans="1:41" ht="17.25" x14ac:dyDescent="0.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</row>
    <row r="378" spans="1:41" ht="17.25" x14ac:dyDescent="0.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</row>
    <row r="379" spans="1:41" ht="17.25" x14ac:dyDescent="0.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</row>
    <row r="380" spans="1:41" ht="17.25" x14ac:dyDescent="0.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</row>
    <row r="381" spans="1:41" ht="17.25" x14ac:dyDescent="0.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</row>
    <row r="382" spans="1:41" ht="17.25" x14ac:dyDescent="0.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</row>
    <row r="383" spans="1:41" ht="17.25" x14ac:dyDescent="0.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</row>
    <row r="384" spans="1:41" ht="17.25" x14ac:dyDescent="0.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</row>
    <row r="385" spans="1:41" ht="17.25" x14ac:dyDescent="0.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</row>
    <row r="386" spans="1:41" ht="17.25" x14ac:dyDescent="0.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</row>
    <row r="387" spans="1:41" ht="17.25" x14ac:dyDescent="0.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</row>
    <row r="388" spans="1:41" ht="17.25" x14ac:dyDescent="0.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</row>
    <row r="389" spans="1:41" ht="17.25" x14ac:dyDescent="0.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</row>
    <row r="390" spans="1:41" ht="17.25" x14ac:dyDescent="0.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</row>
    <row r="391" spans="1:41" ht="17.25" x14ac:dyDescent="0.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</row>
    <row r="392" spans="1:41" ht="17.25" x14ac:dyDescent="0.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</row>
    <row r="393" spans="1:41" ht="17.25" x14ac:dyDescent="0.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</row>
    <row r="394" spans="1:41" ht="17.25" x14ac:dyDescent="0.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</row>
    <row r="395" spans="1:41" ht="17.25" x14ac:dyDescent="0.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</row>
    <row r="396" spans="1:41" ht="17.25" x14ac:dyDescent="0.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</row>
    <row r="397" spans="1:41" ht="17.25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</row>
    <row r="398" spans="1:41" ht="17.25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</row>
    <row r="399" spans="1:41" ht="17.25" x14ac:dyDescent="0.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</row>
    <row r="400" spans="1:41" ht="17.25" x14ac:dyDescent="0.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</row>
    <row r="401" spans="1:41" ht="17.25" x14ac:dyDescent="0.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</row>
    <row r="402" spans="1:41" ht="17.25" x14ac:dyDescent="0.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</row>
    <row r="403" spans="1:41" ht="17.25" x14ac:dyDescent="0.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</row>
    <row r="404" spans="1:41" ht="17.25" x14ac:dyDescent="0.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</row>
    <row r="405" spans="1:41" ht="17.25" x14ac:dyDescent="0.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</row>
    <row r="406" spans="1:41" ht="17.25" x14ac:dyDescent="0.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</row>
    <row r="407" spans="1:41" ht="17.25" x14ac:dyDescent="0.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</row>
    <row r="408" spans="1:41" ht="17.25" x14ac:dyDescent="0.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</row>
    <row r="409" spans="1:41" ht="17.25" x14ac:dyDescent="0.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</row>
    <row r="410" spans="1:41" ht="17.25" x14ac:dyDescent="0.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</row>
    <row r="411" spans="1:41" ht="17.25" x14ac:dyDescent="0.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</row>
    <row r="412" spans="1:41" ht="17.25" x14ac:dyDescent="0.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</row>
    <row r="413" spans="1:41" ht="17.25" x14ac:dyDescent="0.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</row>
    <row r="414" spans="1:41" ht="17.25" x14ac:dyDescent="0.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</row>
    <row r="415" spans="1:41" ht="17.25" x14ac:dyDescent="0.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</row>
    <row r="416" spans="1:41" ht="17.25" x14ac:dyDescent="0.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</row>
    <row r="417" spans="1:41" ht="17.25" x14ac:dyDescent="0.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</row>
    <row r="418" spans="1:41" ht="17.25" x14ac:dyDescent="0.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</row>
    <row r="419" spans="1:41" ht="17.25" x14ac:dyDescent="0.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</row>
    <row r="420" spans="1:41" ht="17.25" x14ac:dyDescent="0.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</row>
    <row r="421" spans="1:41" ht="17.25" x14ac:dyDescent="0.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</row>
    <row r="422" spans="1:41" ht="17.25" x14ac:dyDescent="0.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</row>
    <row r="423" spans="1:41" ht="17.25" x14ac:dyDescent="0.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</row>
    <row r="424" spans="1:41" ht="17.25" x14ac:dyDescent="0.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</row>
    <row r="425" spans="1:41" ht="17.25" x14ac:dyDescent="0.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</row>
    <row r="426" spans="1:41" ht="17.25" x14ac:dyDescent="0.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</row>
    <row r="427" spans="1:41" ht="17.25" x14ac:dyDescent="0.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</row>
    <row r="428" spans="1:41" ht="17.25" x14ac:dyDescent="0.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</row>
    <row r="429" spans="1:41" ht="17.25" x14ac:dyDescent="0.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</row>
    <row r="430" spans="1:41" ht="17.25" x14ac:dyDescent="0.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</row>
    <row r="431" spans="1:41" ht="17.25" x14ac:dyDescent="0.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</row>
    <row r="432" spans="1:41" ht="17.25" x14ac:dyDescent="0.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</row>
    <row r="433" spans="1:41" ht="17.25" x14ac:dyDescent="0.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</row>
    <row r="434" spans="1:41" ht="17.25" x14ac:dyDescent="0.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</row>
    <row r="435" spans="1:41" ht="17.25" x14ac:dyDescent="0.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</row>
    <row r="436" spans="1:41" ht="17.25" x14ac:dyDescent="0.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</row>
    <row r="437" spans="1:41" ht="17.25" x14ac:dyDescent="0.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</row>
    <row r="438" spans="1:41" ht="17.25" x14ac:dyDescent="0.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</row>
    <row r="439" spans="1:41" ht="17.25" x14ac:dyDescent="0.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</row>
    <row r="440" spans="1:41" ht="17.25" x14ac:dyDescent="0.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</row>
    <row r="441" spans="1:41" ht="17.25" x14ac:dyDescent="0.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</row>
    <row r="442" spans="1:41" ht="17.25" x14ac:dyDescent="0.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</row>
    <row r="443" spans="1:41" ht="17.25" x14ac:dyDescent="0.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</row>
    <row r="444" spans="1:41" ht="17.25" x14ac:dyDescent="0.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</row>
    <row r="445" spans="1:41" ht="17.25" x14ac:dyDescent="0.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</row>
    <row r="446" spans="1:41" ht="17.25" x14ac:dyDescent="0.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</row>
    <row r="447" spans="1:41" ht="17.25" x14ac:dyDescent="0.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</row>
    <row r="448" spans="1:41" ht="17.25" x14ac:dyDescent="0.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</row>
    <row r="449" spans="1:41" ht="17.25" x14ac:dyDescent="0.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</row>
    <row r="450" spans="1:41" ht="17.25" x14ac:dyDescent="0.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</row>
    <row r="451" spans="1:41" ht="17.25" x14ac:dyDescent="0.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</row>
    <row r="452" spans="1:41" ht="17.25" x14ac:dyDescent="0.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</row>
    <row r="453" spans="1:41" ht="17.25" x14ac:dyDescent="0.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</row>
    <row r="454" spans="1:41" ht="17.25" x14ac:dyDescent="0.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</row>
    <row r="455" spans="1:41" ht="17.25" x14ac:dyDescent="0.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</row>
    <row r="456" spans="1:41" ht="17.25" x14ac:dyDescent="0.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</row>
    <row r="457" spans="1:41" ht="17.25" x14ac:dyDescent="0.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</row>
    <row r="458" spans="1:41" ht="17.25" x14ac:dyDescent="0.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</row>
    <row r="459" spans="1:41" ht="17.25" x14ac:dyDescent="0.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</row>
    <row r="460" spans="1:41" ht="17.25" x14ac:dyDescent="0.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</row>
    <row r="461" spans="1:41" ht="17.25" x14ac:dyDescent="0.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</row>
    <row r="462" spans="1:41" ht="17.25" x14ac:dyDescent="0.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</row>
    <row r="463" spans="1:41" ht="17.25" x14ac:dyDescent="0.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</row>
    <row r="464" spans="1:41" ht="17.25" x14ac:dyDescent="0.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</row>
    <row r="465" spans="1:41" ht="17.25" x14ac:dyDescent="0.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</row>
    <row r="466" spans="1:41" ht="17.25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</row>
    <row r="467" spans="1:41" ht="17.25" x14ac:dyDescent="0.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</row>
    <row r="468" spans="1:41" ht="17.25" x14ac:dyDescent="0.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</row>
    <row r="469" spans="1:41" ht="17.25" x14ac:dyDescent="0.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</row>
    <row r="470" spans="1:41" ht="17.25" x14ac:dyDescent="0.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</row>
    <row r="471" spans="1:41" ht="17.25" x14ac:dyDescent="0.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</row>
    <row r="472" spans="1:41" ht="17.25" x14ac:dyDescent="0.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</row>
    <row r="473" spans="1:41" ht="17.25" x14ac:dyDescent="0.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</row>
    <row r="474" spans="1:41" ht="17.25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</row>
    <row r="475" spans="1:41" ht="17.25" x14ac:dyDescent="0.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</row>
    <row r="476" spans="1:41" ht="17.25" x14ac:dyDescent="0.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</row>
    <row r="477" spans="1:41" ht="17.25" x14ac:dyDescent="0.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</row>
    <row r="478" spans="1:41" ht="17.25" x14ac:dyDescent="0.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</row>
    <row r="479" spans="1:41" ht="17.25" x14ac:dyDescent="0.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</row>
    <row r="480" spans="1:41" ht="17.25" x14ac:dyDescent="0.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</row>
    <row r="481" spans="1:41" ht="17.25" x14ac:dyDescent="0.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</row>
    <row r="482" spans="1:41" ht="17.25" x14ac:dyDescent="0.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</row>
    <row r="483" spans="1:41" ht="17.25" x14ac:dyDescent="0.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</row>
    <row r="484" spans="1:41" ht="17.25" x14ac:dyDescent="0.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</row>
    <row r="485" spans="1:41" ht="17.25" x14ac:dyDescent="0.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</row>
    <row r="486" spans="1:41" ht="17.25" x14ac:dyDescent="0.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</row>
    <row r="487" spans="1:41" ht="17.25" x14ac:dyDescent="0.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</row>
    <row r="488" spans="1:41" ht="17.25" x14ac:dyDescent="0.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</row>
    <row r="489" spans="1:41" ht="17.25" x14ac:dyDescent="0.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</row>
    <row r="490" spans="1:41" ht="17.25" x14ac:dyDescent="0.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</row>
    <row r="491" spans="1:41" ht="17.25" x14ac:dyDescent="0.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</row>
    <row r="492" spans="1:41" ht="17.25" x14ac:dyDescent="0.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</row>
    <row r="493" spans="1:41" ht="17.25" x14ac:dyDescent="0.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</row>
    <row r="494" spans="1:41" ht="17.25" x14ac:dyDescent="0.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</row>
    <row r="495" spans="1:41" ht="17.25" x14ac:dyDescent="0.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</row>
    <row r="496" spans="1:41" ht="17.25" x14ac:dyDescent="0.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</row>
    <row r="497" spans="1:41" ht="17.25" x14ac:dyDescent="0.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</row>
    <row r="498" spans="1:41" ht="17.25" x14ac:dyDescent="0.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</row>
    <row r="499" spans="1:41" ht="17.25" x14ac:dyDescent="0.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</row>
    <row r="500" spans="1:41" ht="17.25" x14ac:dyDescent="0.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</row>
    <row r="501" spans="1:41" ht="17.25" x14ac:dyDescent="0.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</row>
    <row r="502" spans="1:41" ht="17.25" x14ac:dyDescent="0.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</row>
    <row r="503" spans="1:41" ht="17.25" x14ac:dyDescent="0.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</row>
    <row r="504" spans="1:41" ht="17.25" x14ac:dyDescent="0.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</row>
    <row r="505" spans="1:41" ht="17.25" x14ac:dyDescent="0.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</row>
    <row r="506" spans="1:41" ht="17.25" x14ac:dyDescent="0.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</row>
    <row r="507" spans="1:41" ht="17.25" x14ac:dyDescent="0.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</row>
    <row r="508" spans="1:41" ht="17.25" x14ac:dyDescent="0.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</row>
    <row r="509" spans="1:41" ht="17.25" x14ac:dyDescent="0.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</row>
    <row r="510" spans="1:41" ht="17.25" x14ac:dyDescent="0.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</row>
    <row r="511" spans="1:41" ht="17.25" x14ac:dyDescent="0.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</row>
    <row r="512" spans="1:41" ht="17.25" x14ac:dyDescent="0.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</row>
    <row r="513" spans="1:41" ht="17.25" x14ac:dyDescent="0.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</row>
    <row r="514" spans="1:41" ht="17.25" x14ac:dyDescent="0.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</row>
    <row r="515" spans="1:41" ht="17.25" x14ac:dyDescent="0.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</row>
    <row r="516" spans="1:41" ht="17.25" x14ac:dyDescent="0.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</row>
    <row r="517" spans="1:41" ht="17.25" x14ac:dyDescent="0.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</row>
    <row r="518" spans="1:41" ht="17.25" x14ac:dyDescent="0.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</row>
    <row r="519" spans="1:41" ht="17.25" x14ac:dyDescent="0.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</row>
    <row r="520" spans="1:41" ht="17.25" x14ac:dyDescent="0.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</row>
    <row r="521" spans="1:41" ht="17.25" x14ac:dyDescent="0.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</row>
    <row r="522" spans="1:41" ht="17.25" x14ac:dyDescent="0.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</row>
    <row r="523" spans="1:41" ht="17.25" x14ac:dyDescent="0.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</row>
    <row r="524" spans="1:41" ht="17.25" x14ac:dyDescent="0.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</row>
    <row r="525" spans="1:41" ht="17.25" x14ac:dyDescent="0.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</row>
    <row r="526" spans="1:41" ht="17.25" x14ac:dyDescent="0.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</row>
    <row r="527" spans="1:41" ht="17.25" x14ac:dyDescent="0.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</row>
    <row r="528" spans="1:41" ht="17.25" x14ac:dyDescent="0.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</row>
    <row r="529" spans="1:41" ht="17.25" x14ac:dyDescent="0.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</row>
    <row r="530" spans="1:41" ht="17.25" x14ac:dyDescent="0.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</row>
    <row r="531" spans="1:41" ht="17.25" x14ac:dyDescent="0.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</row>
    <row r="532" spans="1:41" ht="17.25" x14ac:dyDescent="0.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</row>
    <row r="533" spans="1:41" ht="17.25" x14ac:dyDescent="0.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</row>
    <row r="534" spans="1:41" ht="17.25" x14ac:dyDescent="0.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</row>
    <row r="535" spans="1:41" ht="17.25" x14ac:dyDescent="0.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</row>
    <row r="536" spans="1:41" ht="17.25" x14ac:dyDescent="0.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</row>
    <row r="537" spans="1:41" ht="17.25" x14ac:dyDescent="0.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</row>
    <row r="538" spans="1:41" ht="17.25" x14ac:dyDescent="0.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</row>
    <row r="539" spans="1:41" ht="17.25" x14ac:dyDescent="0.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</row>
    <row r="540" spans="1:41" ht="17.25" x14ac:dyDescent="0.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</row>
    <row r="541" spans="1:41" ht="17.25" x14ac:dyDescent="0.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</row>
    <row r="542" spans="1:41" ht="17.25" x14ac:dyDescent="0.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</row>
    <row r="543" spans="1:41" ht="17.25" x14ac:dyDescent="0.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</row>
    <row r="544" spans="1:41" ht="17.25" x14ac:dyDescent="0.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</row>
    <row r="545" spans="1:41" ht="17.25" x14ac:dyDescent="0.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</row>
    <row r="546" spans="1:41" ht="17.25" x14ac:dyDescent="0.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</row>
    <row r="547" spans="1:41" ht="17.25" x14ac:dyDescent="0.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</row>
    <row r="548" spans="1:41" ht="17.25" x14ac:dyDescent="0.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</row>
    <row r="549" spans="1:41" ht="17.25" x14ac:dyDescent="0.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</row>
    <row r="550" spans="1:41" ht="17.25" x14ac:dyDescent="0.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</row>
    <row r="551" spans="1:41" ht="17.25" x14ac:dyDescent="0.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</row>
    <row r="552" spans="1:41" ht="17.25" x14ac:dyDescent="0.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</row>
    <row r="553" spans="1:41" ht="17.25" x14ac:dyDescent="0.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</row>
    <row r="554" spans="1:41" ht="17.25" x14ac:dyDescent="0.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</row>
    <row r="555" spans="1:41" ht="17.25" x14ac:dyDescent="0.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</row>
    <row r="556" spans="1:41" ht="17.25" x14ac:dyDescent="0.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</row>
    <row r="557" spans="1:41" ht="17.25" x14ac:dyDescent="0.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</row>
    <row r="558" spans="1:41" ht="17.25" x14ac:dyDescent="0.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</row>
    <row r="559" spans="1:41" ht="17.25" x14ac:dyDescent="0.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</row>
    <row r="560" spans="1:41" ht="17.25" x14ac:dyDescent="0.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</row>
    <row r="561" spans="1:41" ht="17.25" x14ac:dyDescent="0.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</row>
    <row r="562" spans="1:41" ht="17.25" x14ac:dyDescent="0.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</row>
    <row r="563" spans="1:41" ht="17.25" x14ac:dyDescent="0.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</row>
    <row r="564" spans="1:41" ht="17.25" x14ac:dyDescent="0.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</row>
    <row r="565" spans="1:41" ht="17.25" x14ac:dyDescent="0.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</row>
    <row r="566" spans="1:41" ht="17.25" x14ac:dyDescent="0.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</row>
    <row r="567" spans="1:41" ht="17.25" x14ac:dyDescent="0.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</row>
    <row r="568" spans="1:41" ht="17.25" x14ac:dyDescent="0.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</row>
    <row r="569" spans="1:41" ht="17.25" x14ac:dyDescent="0.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</row>
    <row r="570" spans="1:41" ht="17.25" x14ac:dyDescent="0.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</row>
    <row r="571" spans="1:41" ht="17.25" x14ac:dyDescent="0.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</row>
    <row r="572" spans="1:41" ht="17.25" x14ac:dyDescent="0.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</row>
    <row r="573" spans="1:41" ht="17.25" x14ac:dyDescent="0.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</row>
    <row r="574" spans="1:41" ht="17.25" x14ac:dyDescent="0.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</row>
    <row r="575" spans="1:41" ht="17.25" x14ac:dyDescent="0.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</row>
    <row r="576" spans="1:41" ht="17.25" x14ac:dyDescent="0.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</row>
    <row r="577" spans="1:41" ht="17.25" x14ac:dyDescent="0.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</row>
    <row r="578" spans="1:41" ht="17.25" x14ac:dyDescent="0.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</row>
    <row r="579" spans="1:41" ht="17.25" x14ac:dyDescent="0.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</row>
    <row r="580" spans="1:41" ht="17.25" x14ac:dyDescent="0.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</row>
    <row r="581" spans="1:41" ht="17.25" x14ac:dyDescent="0.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</row>
    <row r="582" spans="1:41" ht="17.25" x14ac:dyDescent="0.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</row>
    <row r="583" spans="1:41" ht="17.25" x14ac:dyDescent="0.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</row>
    <row r="584" spans="1:41" ht="17.25" x14ac:dyDescent="0.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</row>
    <row r="585" spans="1:41" ht="17.25" x14ac:dyDescent="0.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</row>
    <row r="586" spans="1:41" ht="17.25" x14ac:dyDescent="0.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</row>
    <row r="587" spans="1:41" ht="17.25" x14ac:dyDescent="0.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</row>
    <row r="588" spans="1:41" ht="17.25" x14ac:dyDescent="0.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</row>
    <row r="589" spans="1:41" ht="17.25" x14ac:dyDescent="0.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</row>
    <row r="590" spans="1:41" ht="17.25" x14ac:dyDescent="0.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</row>
    <row r="591" spans="1:41" ht="17.25" x14ac:dyDescent="0.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</row>
    <row r="592" spans="1:41" ht="17.25" x14ac:dyDescent="0.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</row>
    <row r="593" spans="1:41" ht="17.25" x14ac:dyDescent="0.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</row>
    <row r="594" spans="1:41" ht="17.25" x14ac:dyDescent="0.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</row>
    <row r="595" spans="1:41" ht="17.25" x14ac:dyDescent="0.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</row>
    <row r="596" spans="1:41" ht="17.25" x14ac:dyDescent="0.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</row>
    <row r="597" spans="1:41" ht="17.25" x14ac:dyDescent="0.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</row>
    <row r="598" spans="1:41" ht="17.25" x14ac:dyDescent="0.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</row>
    <row r="599" spans="1:41" ht="17.25" x14ac:dyDescent="0.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</row>
    <row r="600" spans="1:41" ht="17.25" x14ac:dyDescent="0.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</row>
    <row r="601" spans="1:41" ht="17.25" x14ac:dyDescent="0.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</row>
    <row r="602" spans="1:41" ht="17.25" x14ac:dyDescent="0.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</row>
    <row r="603" spans="1:41" ht="17.25" x14ac:dyDescent="0.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</row>
    <row r="604" spans="1:41" ht="17.25" x14ac:dyDescent="0.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</row>
    <row r="605" spans="1:41" ht="17.25" x14ac:dyDescent="0.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</row>
    <row r="606" spans="1:41" ht="17.25" x14ac:dyDescent="0.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</row>
    <row r="607" spans="1:41" ht="17.25" x14ac:dyDescent="0.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</row>
    <row r="608" spans="1:41" ht="17.25" x14ac:dyDescent="0.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</row>
    <row r="609" spans="1:41" ht="17.25" x14ac:dyDescent="0.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</row>
    <row r="610" spans="1:41" ht="17.25" x14ac:dyDescent="0.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</row>
    <row r="611" spans="1:41" ht="17.25" x14ac:dyDescent="0.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</row>
    <row r="612" spans="1:41" ht="17.25" x14ac:dyDescent="0.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</row>
    <row r="613" spans="1:41" ht="17.25" x14ac:dyDescent="0.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</row>
    <row r="614" spans="1:41" ht="17.25" x14ac:dyDescent="0.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</row>
    <row r="615" spans="1:41" ht="17.25" x14ac:dyDescent="0.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</row>
    <row r="616" spans="1:41" ht="17.25" x14ac:dyDescent="0.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</row>
    <row r="617" spans="1:41" ht="17.25" x14ac:dyDescent="0.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</row>
    <row r="618" spans="1:41" ht="17.25" x14ac:dyDescent="0.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</row>
    <row r="619" spans="1:41" ht="17.25" x14ac:dyDescent="0.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</row>
    <row r="620" spans="1:41" ht="17.25" x14ac:dyDescent="0.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</row>
    <row r="621" spans="1:41" ht="17.25" x14ac:dyDescent="0.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</row>
    <row r="622" spans="1:41" ht="17.25" x14ac:dyDescent="0.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</row>
    <row r="623" spans="1:41" ht="17.25" x14ac:dyDescent="0.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</row>
    <row r="624" spans="1:41" ht="17.25" x14ac:dyDescent="0.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</row>
    <row r="625" spans="1:41" ht="17.25" x14ac:dyDescent="0.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</row>
    <row r="626" spans="1:41" ht="17.25" x14ac:dyDescent="0.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</row>
    <row r="627" spans="1:41" ht="17.25" x14ac:dyDescent="0.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</row>
    <row r="628" spans="1:41" ht="17.25" x14ac:dyDescent="0.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</row>
    <row r="629" spans="1:41" ht="17.25" x14ac:dyDescent="0.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</row>
    <row r="630" spans="1:41" ht="17.25" x14ac:dyDescent="0.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</row>
    <row r="631" spans="1:41" ht="17.25" x14ac:dyDescent="0.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</row>
    <row r="632" spans="1:41" ht="17.25" x14ac:dyDescent="0.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</row>
    <row r="633" spans="1:41" ht="17.25" x14ac:dyDescent="0.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</row>
    <row r="634" spans="1:41" ht="17.25" x14ac:dyDescent="0.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</row>
    <row r="635" spans="1:41" ht="17.25" x14ac:dyDescent="0.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</row>
    <row r="636" spans="1:41" ht="17.25" x14ac:dyDescent="0.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</row>
    <row r="637" spans="1:41" ht="17.25" x14ac:dyDescent="0.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</row>
    <row r="638" spans="1:41" ht="17.25" x14ac:dyDescent="0.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</row>
    <row r="639" spans="1:41" ht="17.25" x14ac:dyDescent="0.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</row>
    <row r="640" spans="1:41" ht="17.25" x14ac:dyDescent="0.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</row>
    <row r="641" spans="1:41" ht="17.25" x14ac:dyDescent="0.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</row>
    <row r="642" spans="1:41" ht="17.25" x14ac:dyDescent="0.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</row>
    <row r="643" spans="1:41" ht="17.25" x14ac:dyDescent="0.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</row>
    <row r="644" spans="1:41" ht="17.25" x14ac:dyDescent="0.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</row>
    <row r="645" spans="1:41" ht="17.25" x14ac:dyDescent="0.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</row>
    <row r="646" spans="1:41" ht="17.25" x14ac:dyDescent="0.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</row>
    <row r="647" spans="1:41" ht="17.25" x14ac:dyDescent="0.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</row>
    <row r="648" spans="1:41" ht="17.25" x14ac:dyDescent="0.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</row>
    <row r="649" spans="1:41" ht="17.25" x14ac:dyDescent="0.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</row>
    <row r="650" spans="1:41" ht="17.25" x14ac:dyDescent="0.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</row>
    <row r="651" spans="1:41" ht="17.25" x14ac:dyDescent="0.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</row>
    <row r="652" spans="1:41" ht="17.25" x14ac:dyDescent="0.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</row>
    <row r="653" spans="1:41" ht="17.25" x14ac:dyDescent="0.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</row>
    <row r="654" spans="1:41" ht="17.25" x14ac:dyDescent="0.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</row>
    <row r="655" spans="1:41" ht="17.25" x14ac:dyDescent="0.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</row>
    <row r="656" spans="1:41" ht="17.25" x14ac:dyDescent="0.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</row>
    <row r="657" spans="1:41" ht="17.25" x14ac:dyDescent="0.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</row>
    <row r="658" spans="1:41" ht="17.25" x14ac:dyDescent="0.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</row>
    <row r="659" spans="1:41" ht="17.25" x14ac:dyDescent="0.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</row>
    <row r="660" spans="1:41" ht="17.25" x14ac:dyDescent="0.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</row>
    <row r="661" spans="1:41" ht="17.25" x14ac:dyDescent="0.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</row>
    <row r="662" spans="1:41" ht="17.25" x14ac:dyDescent="0.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</row>
    <row r="663" spans="1:41" ht="17.25" x14ac:dyDescent="0.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</row>
    <row r="664" spans="1:41" ht="17.25" x14ac:dyDescent="0.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</row>
    <row r="665" spans="1:41" ht="17.25" x14ac:dyDescent="0.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</row>
    <row r="666" spans="1:41" ht="17.25" x14ac:dyDescent="0.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</row>
    <row r="667" spans="1:41" ht="17.25" x14ac:dyDescent="0.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</row>
    <row r="668" spans="1:41" ht="17.25" x14ac:dyDescent="0.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</row>
    <row r="669" spans="1:41" ht="17.25" x14ac:dyDescent="0.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</row>
    <row r="670" spans="1:41" ht="17.25" x14ac:dyDescent="0.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</row>
    <row r="671" spans="1:41" ht="17.25" x14ac:dyDescent="0.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</row>
    <row r="672" spans="1:41" ht="17.25" x14ac:dyDescent="0.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</row>
    <row r="673" spans="1:41" ht="17.25" x14ac:dyDescent="0.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</row>
    <row r="674" spans="1:41" ht="17.25" x14ac:dyDescent="0.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</row>
    <row r="675" spans="1:41" ht="17.25" x14ac:dyDescent="0.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</row>
    <row r="676" spans="1:41" ht="17.25" x14ac:dyDescent="0.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</row>
    <row r="677" spans="1:41" ht="17.25" x14ac:dyDescent="0.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</row>
    <row r="678" spans="1:41" ht="17.25" x14ac:dyDescent="0.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</row>
    <row r="679" spans="1:41" ht="17.25" x14ac:dyDescent="0.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</row>
    <row r="680" spans="1:41" ht="17.25" x14ac:dyDescent="0.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</row>
    <row r="681" spans="1:41" ht="17.25" x14ac:dyDescent="0.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</row>
    <row r="682" spans="1:41" ht="17.25" x14ac:dyDescent="0.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</row>
    <row r="683" spans="1:41" ht="17.25" x14ac:dyDescent="0.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</row>
    <row r="684" spans="1:41" ht="17.25" x14ac:dyDescent="0.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</row>
    <row r="685" spans="1:41" ht="17.25" x14ac:dyDescent="0.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</row>
    <row r="686" spans="1:41" ht="17.25" x14ac:dyDescent="0.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</row>
    <row r="687" spans="1:41" ht="17.25" x14ac:dyDescent="0.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</row>
    <row r="688" spans="1:41" ht="17.25" x14ac:dyDescent="0.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</row>
    <row r="689" spans="1:41" ht="17.25" x14ac:dyDescent="0.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</row>
    <row r="690" spans="1:41" ht="17.25" x14ac:dyDescent="0.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</row>
    <row r="691" spans="1:41" ht="17.25" x14ac:dyDescent="0.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</row>
    <row r="692" spans="1:41" ht="17.25" x14ac:dyDescent="0.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</row>
    <row r="693" spans="1:41" ht="17.25" x14ac:dyDescent="0.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</row>
    <row r="694" spans="1:41" ht="17.25" x14ac:dyDescent="0.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</row>
    <row r="695" spans="1:41" ht="17.25" x14ac:dyDescent="0.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</row>
    <row r="696" spans="1:41" ht="17.25" x14ac:dyDescent="0.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</row>
    <row r="697" spans="1:41" ht="17.25" x14ac:dyDescent="0.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</row>
    <row r="698" spans="1:41" ht="17.25" x14ac:dyDescent="0.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</row>
    <row r="699" spans="1:41" ht="17.25" x14ac:dyDescent="0.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</row>
    <row r="700" spans="1:41" ht="17.25" x14ac:dyDescent="0.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</row>
    <row r="701" spans="1:41" ht="17.25" x14ac:dyDescent="0.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</row>
    <row r="702" spans="1:41" ht="17.25" x14ac:dyDescent="0.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</row>
    <row r="703" spans="1:41" ht="17.25" x14ac:dyDescent="0.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</row>
    <row r="704" spans="1:41" ht="17.25" x14ac:dyDescent="0.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</row>
    <row r="705" spans="1:41" ht="17.25" x14ac:dyDescent="0.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</row>
    <row r="706" spans="1:41" ht="17.25" x14ac:dyDescent="0.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</row>
    <row r="707" spans="1:41" ht="17.25" x14ac:dyDescent="0.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</row>
    <row r="708" spans="1:41" ht="17.25" x14ac:dyDescent="0.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</row>
    <row r="709" spans="1:41" ht="17.25" x14ac:dyDescent="0.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</row>
    <row r="710" spans="1:41" ht="17.25" x14ac:dyDescent="0.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</row>
    <row r="711" spans="1:41" ht="17.25" x14ac:dyDescent="0.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</row>
    <row r="712" spans="1:41" ht="17.25" x14ac:dyDescent="0.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</row>
    <row r="713" spans="1:41" ht="17.25" x14ac:dyDescent="0.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</row>
    <row r="714" spans="1:41" ht="17.25" x14ac:dyDescent="0.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</row>
    <row r="715" spans="1:41" ht="17.25" x14ac:dyDescent="0.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</row>
    <row r="716" spans="1:41" ht="17.25" x14ac:dyDescent="0.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</row>
    <row r="717" spans="1:41" ht="17.25" x14ac:dyDescent="0.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</row>
    <row r="718" spans="1:41" ht="17.25" x14ac:dyDescent="0.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</row>
    <row r="719" spans="1:41" ht="17.25" x14ac:dyDescent="0.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</row>
    <row r="720" spans="1:41" ht="17.25" x14ac:dyDescent="0.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</row>
    <row r="721" spans="1:41" ht="17.25" x14ac:dyDescent="0.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</row>
    <row r="722" spans="1:41" ht="17.25" x14ac:dyDescent="0.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</row>
    <row r="723" spans="1:41" ht="17.25" x14ac:dyDescent="0.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</row>
    <row r="724" spans="1:41" ht="17.25" x14ac:dyDescent="0.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</row>
    <row r="725" spans="1:41" ht="17.25" x14ac:dyDescent="0.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</row>
    <row r="726" spans="1:41" ht="17.25" x14ac:dyDescent="0.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</row>
    <row r="727" spans="1:41" ht="17.25" x14ac:dyDescent="0.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</row>
    <row r="728" spans="1:41" ht="17.25" x14ac:dyDescent="0.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</row>
    <row r="729" spans="1:41" ht="17.25" x14ac:dyDescent="0.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</row>
    <row r="730" spans="1:41" ht="17.25" x14ac:dyDescent="0.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</row>
    <row r="731" spans="1:41" ht="17.25" x14ac:dyDescent="0.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</row>
    <row r="732" spans="1:41" ht="17.25" x14ac:dyDescent="0.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</row>
    <row r="733" spans="1:41" ht="17.25" x14ac:dyDescent="0.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</row>
    <row r="734" spans="1:41" ht="17.25" x14ac:dyDescent="0.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</row>
    <row r="735" spans="1:41" ht="17.25" x14ac:dyDescent="0.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</row>
    <row r="736" spans="1:41" ht="17.25" x14ac:dyDescent="0.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</row>
    <row r="737" spans="1:41" ht="17.25" x14ac:dyDescent="0.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</row>
    <row r="738" spans="1:41" ht="17.25" x14ac:dyDescent="0.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</row>
    <row r="739" spans="1:41" ht="17.25" x14ac:dyDescent="0.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</row>
    <row r="740" spans="1:41" ht="17.25" x14ac:dyDescent="0.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</row>
    <row r="741" spans="1:41" ht="17.25" x14ac:dyDescent="0.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</row>
    <row r="742" spans="1:41" ht="17.25" x14ac:dyDescent="0.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</row>
    <row r="743" spans="1:41" ht="17.25" x14ac:dyDescent="0.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</row>
    <row r="744" spans="1:41" ht="17.25" x14ac:dyDescent="0.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</row>
    <row r="745" spans="1:41" ht="17.25" x14ac:dyDescent="0.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</row>
    <row r="746" spans="1:41" ht="17.25" x14ac:dyDescent="0.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</row>
    <row r="747" spans="1:41" ht="17.25" x14ac:dyDescent="0.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</row>
    <row r="748" spans="1:41" ht="17.25" x14ac:dyDescent="0.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</row>
    <row r="749" spans="1:41" ht="17.25" x14ac:dyDescent="0.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</row>
    <row r="750" spans="1:41" ht="17.25" x14ac:dyDescent="0.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</row>
    <row r="751" spans="1:41" ht="17.25" x14ac:dyDescent="0.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</row>
    <row r="752" spans="1:41" ht="17.25" x14ac:dyDescent="0.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</row>
    <row r="753" spans="1:41" ht="17.25" x14ac:dyDescent="0.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</row>
    <row r="754" spans="1:41" ht="17.25" x14ac:dyDescent="0.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</row>
    <row r="755" spans="1:41" ht="17.25" x14ac:dyDescent="0.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</row>
    <row r="756" spans="1:41" ht="17.25" x14ac:dyDescent="0.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</row>
    <row r="757" spans="1:41" ht="17.25" x14ac:dyDescent="0.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</row>
    <row r="758" spans="1:41" ht="17.25" x14ac:dyDescent="0.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</row>
    <row r="759" spans="1:41" ht="17.25" x14ac:dyDescent="0.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</row>
    <row r="760" spans="1:41" ht="17.25" x14ac:dyDescent="0.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</row>
    <row r="761" spans="1:41" ht="17.25" x14ac:dyDescent="0.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</row>
    <row r="762" spans="1:41" ht="17.25" x14ac:dyDescent="0.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</row>
    <row r="763" spans="1:41" ht="17.25" x14ac:dyDescent="0.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</row>
    <row r="764" spans="1:41" ht="17.25" x14ac:dyDescent="0.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</row>
    <row r="765" spans="1:41" ht="17.25" x14ac:dyDescent="0.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</row>
    <row r="766" spans="1:41" ht="17.25" x14ac:dyDescent="0.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</row>
    <row r="767" spans="1:41" ht="17.25" x14ac:dyDescent="0.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</row>
    <row r="768" spans="1:41" ht="17.25" x14ac:dyDescent="0.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</row>
    <row r="769" spans="1:41" ht="17.25" x14ac:dyDescent="0.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</row>
    <row r="770" spans="1:41" ht="17.25" x14ac:dyDescent="0.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</row>
    <row r="771" spans="1:41" ht="17.25" x14ac:dyDescent="0.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</row>
    <row r="772" spans="1:41" ht="17.25" x14ac:dyDescent="0.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</row>
    <row r="773" spans="1:41" ht="17.25" x14ac:dyDescent="0.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</row>
    <row r="774" spans="1:41" ht="17.25" x14ac:dyDescent="0.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</row>
    <row r="775" spans="1:41" ht="17.25" x14ac:dyDescent="0.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</row>
    <row r="776" spans="1:41" ht="17.25" x14ac:dyDescent="0.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</row>
    <row r="777" spans="1:41" ht="17.25" x14ac:dyDescent="0.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</row>
    <row r="778" spans="1:41" ht="17.25" x14ac:dyDescent="0.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</row>
    <row r="779" spans="1:41" ht="17.25" x14ac:dyDescent="0.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</row>
    <row r="780" spans="1:41" ht="17.25" x14ac:dyDescent="0.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</row>
    <row r="781" spans="1:41" ht="17.25" x14ac:dyDescent="0.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</row>
    <row r="782" spans="1:41" ht="17.25" x14ac:dyDescent="0.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</row>
    <row r="783" spans="1:41" ht="17.25" x14ac:dyDescent="0.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</row>
    <row r="784" spans="1:41" ht="17.25" x14ac:dyDescent="0.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</row>
    <row r="785" spans="1:41" ht="17.25" x14ac:dyDescent="0.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</row>
    <row r="786" spans="1:41" ht="17.25" x14ac:dyDescent="0.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</row>
    <row r="787" spans="1:41" ht="17.25" x14ac:dyDescent="0.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</row>
    <row r="788" spans="1:41" ht="17.25" x14ac:dyDescent="0.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</row>
    <row r="789" spans="1:41" ht="17.25" x14ac:dyDescent="0.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</row>
    <row r="790" spans="1:41" ht="17.25" x14ac:dyDescent="0.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</row>
    <row r="791" spans="1:41" ht="17.25" x14ac:dyDescent="0.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</row>
    <row r="792" spans="1:41" ht="17.25" x14ac:dyDescent="0.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</row>
    <row r="793" spans="1:41" ht="17.25" x14ac:dyDescent="0.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</row>
    <row r="794" spans="1:41" ht="17.25" x14ac:dyDescent="0.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</row>
    <row r="795" spans="1:41" ht="17.25" x14ac:dyDescent="0.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</row>
    <row r="796" spans="1:41" ht="17.25" x14ac:dyDescent="0.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</row>
    <row r="797" spans="1:41" ht="17.25" x14ac:dyDescent="0.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</row>
    <row r="798" spans="1:41" ht="17.25" x14ac:dyDescent="0.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</row>
    <row r="799" spans="1:41" ht="17.25" x14ac:dyDescent="0.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</row>
    <row r="800" spans="1:41" ht="17.25" x14ac:dyDescent="0.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</row>
    <row r="801" spans="1:41" ht="17.25" x14ac:dyDescent="0.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</row>
    <row r="802" spans="1:41" ht="17.25" x14ac:dyDescent="0.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</row>
    <row r="803" spans="1:41" ht="17.25" x14ac:dyDescent="0.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</row>
    <row r="804" spans="1:41" ht="17.25" x14ac:dyDescent="0.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</row>
    <row r="805" spans="1:41" ht="17.25" x14ac:dyDescent="0.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</row>
    <row r="806" spans="1:41" ht="17.25" x14ac:dyDescent="0.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</row>
    <row r="807" spans="1:41" ht="17.25" x14ac:dyDescent="0.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</row>
    <row r="808" spans="1:41" ht="17.25" x14ac:dyDescent="0.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</row>
    <row r="809" spans="1:41" ht="17.25" x14ac:dyDescent="0.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</row>
    <row r="810" spans="1:41" ht="17.25" x14ac:dyDescent="0.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</row>
    <row r="811" spans="1:41" ht="17.25" x14ac:dyDescent="0.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</row>
    <row r="812" spans="1:41" ht="17.25" x14ac:dyDescent="0.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</row>
    <row r="813" spans="1:41" ht="17.25" x14ac:dyDescent="0.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</row>
    <row r="814" spans="1:41" ht="17.25" x14ac:dyDescent="0.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</row>
    <row r="815" spans="1:41" ht="17.25" x14ac:dyDescent="0.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</row>
    <row r="816" spans="1:41" ht="17.25" x14ac:dyDescent="0.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</row>
    <row r="817" spans="1:41" ht="17.25" x14ac:dyDescent="0.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</row>
    <row r="818" spans="1:41" ht="17.25" x14ac:dyDescent="0.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</row>
    <row r="819" spans="1:41" ht="17.25" x14ac:dyDescent="0.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</row>
    <row r="820" spans="1:41" ht="17.25" x14ac:dyDescent="0.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</row>
    <row r="821" spans="1:41" ht="17.25" x14ac:dyDescent="0.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</row>
    <row r="822" spans="1:41" ht="17.25" x14ac:dyDescent="0.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</row>
    <row r="823" spans="1:41" ht="17.25" x14ac:dyDescent="0.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</row>
    <row r="824" spans="1:41" ht="17.25" x14ac:dyDescent="0.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</row>
    <row r="825" spans="1:41" ht="17.25" x14ac:dyDescent="0.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</row>
    <row r="826" spans="1:41" ht="17.25" x14ac:dyDescent="0.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</row>
    <row r="827" spans="1:41" ht="17.25" x14ac:dyDescent="0.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</row>
    <row r="828" spans="1:41" ht="17.25" x14ac:dyDescent="0.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</row>
    <row r="829" spans="1:41" ht="17.25" x14ac:dyDescent="0.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</row>
    <row r="830" spans="1:41" ht="17.25" x14ac:dyDescent="0.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</row>
    <row r="831" spans="1:41" ht="17.25" x14ac:dyDescent="0.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</row>
    <row r="832" spans="1:41" ht="17.25" x14ac:dyDescent="0.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</row>
    <row r="833" spans="1:41" ht="17.25" x14ac:dyDescent="0.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</row>
    <row r="834" spans="1:41" ht="17.25" x14ac:dyDescent="0.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</row>
    <row r="835" spans="1:41" ht="17.25" x14ac:dyDescent="0.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</row>
    <row r="836" spans="1:41" ht="17.25" x14ac:dyDescent="0.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</row>
    <row r="837" spans="1:41" ht="17.25" x14ac:dyDescent="0.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</row>
    <row r="838" spans="1:41" ht="17.25" x14ac:dyDescent="0.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</row>
    <row r="839" spans="1:41" ht="17.25" x14ac:dyDescent="0.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</row>
    <row r="840" spans="1:41" ht="17.25" x14ac:dyDescent="0.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</row>
    <row r="841" spans="1:41" ht="17.25" x14ac:dyDescent="0.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</row>
    <row r="842" spans="1:41" ht="17.25" x14ac:dyDescent="0.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</row>
    <row r="843" spans="1:41" ht="17.25" x14ac:dyDescent="0.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</row>
    <row r="844" spans="1:41" ht="17.25" x14ac:dyDescent="0.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</row>
    <row r="845" spans="1:41" ht="17.25" x14ac:dyDescent="0.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</row>
    <row r="846" spans="1:41" ht="17.25" x14ac:dyDescent="0.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</row>
    <row r="847" spans="1:41" ht="17.25" x14ac:dyDescent="0.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</row>
    <row r="848" spans="1:41" ht="17.25" x14ac:dyDescent="0.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</row>
    <row r="849" spans="1:41" ht="17.25" x14ac:dyDescent="0.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</row>
    <row r="850" spans="1:41" ht="17.25" x14ac:dyDescent="0.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</row>
    <row r="851" spans="1:41" ht="17.25" x14ac:dyDescent="0.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</row>
    <row r="852" spans="1:41" ht="17.25" x14ac:dyDescent="0.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</row>
    <row r="853" spans="1:41" ht="17.25" x14ac:dyDescent="0.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</row>
    <row r="854" spans="1:41" ht="17.25" x14ac:dyDescent="0.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</row>
    <row r="855" spans="1:41" ht="17.25" x14ac:dyDescent="0.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</row>
    <row r="856" spans="1:41" ht="17.25" x14ac:dyDescent="0.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</row>
    <row r="857" spans="1:41" ht="17.25" x14ac:dyDescent="0.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</row>
    <row r="858" spans="1:41" ht="17.25" x14ac:dyDescent="0.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</row>
    <row r="859" spans="1:41" ht="17.25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</row>
    <row r="860" spans="1:41" ht="17.25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</row>
    <row r="861" spans="1:41" ht="17.25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</row>
    <row r="862" spans="1:41" ht="17.25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</row>
    <row r="863" spans="1:41" ht="17.25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</row>
    <row r="864" spans="1:41" ht="17.25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</row>
    <row r="865" spans="1:41" ht="17.25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</row>
    <row r="866" spans="1:41" ht="17.25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</row>
    <row r="867" spans="1:41" ht="17.25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</row>
    <row r="868" spans="1:41" ht="17.25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</row>
    <row r="869" spans="1:41" ht="17.25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</row>
    <row r="870" spans="1:41" ht="17.25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</row>
    <row r="871" spans="1:41" ht="17.25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</row>
    <row r="872" spans="1:41" ht="17.25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</row>
    <row r="873" spans="1:41" ht="17.25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</row>
    <row r="874" spans="1:41" ht="17.25" x14ac:dyDescent="0.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</row>
    <row r="875" spans="1:41" ht="17.25" x14ac:dyDescent="0.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</row>
    <row r="876" spans="1:41" ht="17.25" x14ac:dyDescent="0.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</row>
    <row r="877" spans="1:41" ht="17.25" x14ac:dyDescent="0.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</row>
    <row r="878" spans="1:41" ht="17.25" x14ac:dyDescent="0.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</row>
    <row r="879" spans="1:41" ht="17.25" x14ac:dyDescent="0.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</row>
    <row r="880" spans="1:41" ht="17.25" x14ac:dyDescent="0.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</row>
    <row r="881" spans="1:41" ht="17.25" x14ac:dyDescent="0.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</row>
    <row r="882" spans="1:41" ht="17.25" x14ac:dyDescent="0.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</row>
    <row r="883" spans="1:41" ht="17.25" x14ac:dyDescent="0.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</row>
    <row r="884" spans="1:41" ht="17.25" x14ac:dyDescent="0.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</row>
    <row r="885" spans="1:41" ht="17.25" x14ac:dyDescent="0.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</row>
    <row r="886" spans="1:41" ht="17.25" x14ac:dyDescent="0.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</row>
    <row r="887" spans="1:41" ht="17.25" x14ac:dyDescent="0.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</row>
    <row r="888" spans="1:41" ht="17.25" x14ac:dyDescent="0.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</row>
    <row r="889" spans="1:41" ht="17.25" x14ac:dyDescent="0.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</row>
    <row r="890" spans="1:41" ht="17.25" x14ac:dyDescent="0.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</row>
    <row r="891" spans="1:41" ht="17.25" x14ac:dyDescent="0.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</row>
    <row r="892" spans="1:41" ht="17.25" x14ac:dyDescent="0.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</row>
    <row r="893" spans="1:41" ht="17.25" x14ac:dyDescent="0.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</row>
    <row r="894" spans="1:41" ht="17.25" x14ac:dyDescent="0.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</row>
    <row r="895" spans="1:41" ht="17.25" x14ac:dyDescent="0.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</row>
    <row r="896" spans="1:41" ht="17.25" x14ac:dyDescent="0.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</row>
    <row r="897" spans="1:41" ht="17.25" x14ac:dyDescent="0.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</row>
    <row r="898" spans="1:41" ht="17.25" x14ac:dyDescent="0.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</row>
    <row r="899" spans="1:41" ht="17.25" x14ac:dyDescent="0.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</row>
    <row r="900" spans="1:41" ht="17.25" x14ac:dyDescent="0.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</row>
    <row r="901" spans="1:41" ht="17.25" x14ac:dyDescent="0.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</row>
    <row r="902" spans="1:41" ht="17.25" x14ac:dyDescent="0.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</row>
    <row r="903" spans="1:41" ht="17.25" x14ac:dyDescent="0.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</row>
    <row r="904" spans="1:41" ht="17.25" x14ac:dyDescent="0.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</row>
    <row r="905" spans="1:41" ht="17.25" x14ac:dyDescent="0.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</row>
    <row r="906" spans="1:41" ht="17.25" x14ac:dyDescent="0.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</row>
    <row r="907" spans="1:41" ht="17.25" x14ac:dyDescent="0.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</row>
    <row r="908" spans="1:41" ht="17.25" x14ac:dyDescent="0.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</row>
    <row r="909" spans="1:41" ht="17.25" x14ac:dyDescent="0.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</row>
    <row r="910" spans="1:41" ht="17.25" x14ac:dyDescent="0.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</row>
    <row r="911" spans="1:41" ht="17.25" x14ac:dyDescent="0.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</row>
    <row r="912" spans="1:41" ht="17.25" x14ac:dyDescent="0.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</row>
    <row r="913" spans="1:41" ht="17.25" x14ac:dyDescent="0.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</row>
    <row r="914" spans="1:41" ht="17.25" x14ac:dyDescent="0.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</row>
    <row r="915" spans="1:41" ht="17.25" x14ac:dyDescent="0.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</row>
    <row r="916" spans="1:41" ht="17.25" x14ac:dyDescent="0.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</row>
    <row r="917" spans="1:41" ht="17.25" x14ac:dyDescent="0.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</row>
    <row r="918" spans="1:41" ht="17.25" x14ac:dyDescent="0.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</row>
    <row r="919" spans="1:41" ht="17.25" x14ac:dyDescent="0.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</row>
    <row r="920" spans="1:41" ht="17.25" x14ac:dyDescent="0.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</row>
    <row r="921" spans="1:41" ht="17.25" x14ac:dyDescent="0.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</row>
    <row r="922" spans="1:41" ht="17.25" x14ac:dyDescent="0.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</row>
    <row r="923" spans="1:41" ht="17.25" x14ac:dyDescent="0.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</row>
    <row r="924" spans="1:41" ht="17.25" x14ac:dyDescent="0.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</row>
    <row r="925" spans="1:41" ht="17.25" x14ac:dyDescent="0.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</row>
    <row r="926" spans="1:41" ht="17.25" x14ac:dyDescent="0.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</row>
    <row r="927" spans="1:41" ht="17.25" x14ac:dyDescent="0.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</row>
    <row r="928" spans="1:41" ht="17.25" x14ac:dyDescent="0.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</row>
    <row r="929" spans="1:41" ht="17.25" x14ac:dyDescent="0.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</row>
    <row r="930" spans="1:41" ht="17.25" x14ac:dyDescent="0.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</row>
    <row r="931" spans="1:41" ht="17.25" x14ac:dyDescent="0.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</row>
    <row r="932" spans="1:41" ht="17.25" x14ac:dyDescent="0.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</row>
    <row r="933" spans="1:41" ht="17.25" x14ac:dyDescent="0.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</row>
    <row r="934" spans="1:41" ht="17.25" x14ac:dyDescent="0.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</row>
    <row r="935" spans="1:41" ht="17.25" x14ac:dyDescent="0.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</row>
    <row r="936" spans="1:41" ht="17.25" x14ac:dyDescent="0.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</row>
    <row r="937" spans="1:41" ht="17.25" x14ac:dyDescent="0.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</row>
    <row r="938" spans="1:41" ht="17.25" x14ac:dyDescent="0.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</row>
    <row r="939" spans="1:41" ht="17.25" x14ac:dyDescent="0.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</row>
    <row r="940" spans="1:41" ht="17.25" x14ac:dyDescent="0.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</row>
    <row r="941" spans="1:41" ht="17.25" x14ac:dyDescent="0.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</row>
    <row r="942" spans="1:41" ht="17.25" x14ac:dyDescent="0.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</row>
    <row r="943" spans="1:41" ht="17.25" x14ac:dyDescent="0.1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</row>
    <row r="944" spans="1:41" ht="17.25" x14ac:dyDescent="0.1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</row>
    <row r="945" spans="1:41" ht="17.25" x14ac:dyDescent="0.1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</row>
    <row r="946" spans="1:41" ht="17.25" x14ac:dyDescent="0.1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</row>
    <row r="947" spans="1:41" ht="17.25" x14ac:dyDescent="0.1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</row>
    <row r="948" spans="1:41" ht="17.25" x14ac:dyDescent="0.1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</row>
    <row r="949" spans="1:41" ht="17.25" x14ac:dyDescent="0.1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</row>
    <row r="950" spans="1:41" ht="17.25" x14ac:dyDescent="0.1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</row>
    <row r="951" spans="1:41" ht="17.25" x14ac:dyDescent="0.1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</row>
    <row r="952" spans="1:41" ht="17.25" x14ac:dyDescent="0.1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</row>
    <row r="953" spans="1:41" ht="17.25" x14ac:dyDescent="0.1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</row>
    <row r="954" spans="1:41" ht="17.25" x14ac:dyDescent="0.1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</row>
    <row r="955" spans="1:41" ht="17.25" x14ac:dyDescent="0.1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</row>
    <row r="956" spans="1:41" ht="17.25" x14ac:dyDescent="0.1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</row>
    <row r="957" spans="1:41" ht="17.25" x14ac:dyDescent="0.1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</row>
    <row r="958" spans="1:41" ht="17.25" x14ac:dyDescent="0.1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</row>
    <row r="959" spans="1:41" ht="17.25" x14ac:dyDescent="0.1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</row>
    <row r="960" spans="1:41" ht="17.25" x14ac:dyDescent="0.1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</row>
    <row r="961" spans="1:41" ht="17.25" x14ac:dyDescent="0.1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</row>
    <row r="962" spans="1:41" ht="17.25" x14ac:dyDescent="0.1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</row>
    <row r="963" spans="1:41" ht="17.25" x14ac:dyDescent="0.1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</row>
    <row r="964" spans="1:41" ht="17.25" x14ac:dyDescent="0.1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</row>
    <row r="965" spans="1:41" ht="17.25" x14ac:dyDescent="0.1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</row>
    <row r="966" spans="1:41" ht="17.25" x14ac:dyDescent="0.1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</row>
    <row r="967" spans="1:41" ht="17.25" x14ac:dyDescent="0.1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</row>
    <row r="968" spans="1:41" ht="17.25" x14ac:dyDescent="0.1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</row>
    <row r="969" spans="1:41" ht="17.25" x14ac:dyDescent="0.1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</row>
    <row r="970" spans="1:41" ht="17.25" x14ac:dyDescent="0.1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</row>
    <row r="971" spans="1:41" ht="17.25" x14ac:dyDescent="0.1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</row>
    <row r="972" spans="1:41" ht="17.25" x14ac:dyDescent="0.1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</row>
    <row r="973" spans="1:41" ht="17.25" x14ac:dyDescent="0.1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</row>
    <row r="974" spans="1:41" ht="17.25" x14ac:dyDescent="0.1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</row>
    <row r="975" spans="1:41" ht="17.25" x14ac:dyDescent="0.1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</row>
    <row r="976" spans="1:41" ht="17.25" x14ac:dyDescent="0.1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</row>
    <row r="977" spans="1:41" ht="17.25" x14ac:dyDescent="0.1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</row>
    <row r="978" spans="1:41" ht="17.25" x14ac:dyDescent="0.1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</row>
    <row r="979" spans="1:41" ht="17.25" x14ac:dyDescent="0.1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</row>
    <row r="980" spans="1:41" ht="17.25" x14ac:dyDescent="0.15">
      <c r="A980" s="19"/>
      <c r="B980" s="19"/>
      <c r="C980" s="19"/>
      <c r="D980" s="19"/>
      <c r="E980" s="19"/>
      <c r="F980" s="19"/>
      <c r="G980" s="19"/>
      <c r="H980" s="19"/>
      <c r="I980" s="19"/>
      <c r="P980" s="19"/>
      <c r="Q980" s="19"/>
      <c r="R980" s="19"/>
      <c r="S980" s="19"/>
      <c r="T980" s="19"/>
      <c r="U980" s="19"/>
      <c r="V980" s="19"/>
    </row>
    <row r="981" spans="1:41" ht="17.25" x14ac:dyDescent="0.15">
      <c r="A981" s="19"/>
      <c r="B981" s="19"/>
      <c r="C981" s="19"/>
      <c r="D981" s="19"/>
      <c r="E981" s="19"/>
      <c r="F981" s="19"/>
      <c r="G981" s="19"/>
      <c r="H981" s="19"/>
      <c r="I981" s="19"/>
      <c r="P981" s="19"/>
      <c r="Q981" s="19"/>
      <c r="R981" s="19"/>
      <c r="S981" s="19"/>
      <c r="T981" s="19"/>
      <c r="U981" s="19"/>
      <c r="V981" s="19"/>
    </row>
  </sheetData>
  <mergeCells count="1">
    <mergeCell ref="A2:C2"/>
  </mergeCells>
  <conditionalFormatting sqref="AC5:AO5">
    <cfRule type="notContainsBlanks" dxfId="1" priority="1">
      <formula>LEN(TRIM(AC5))&gt;0</formula>
    </cfRule>
  </conditionalFormatting>
  <hyperlinks>
    <hyperlink ref="A45" location="'ФИН ЗАЕМ'!2:17" display="РАСХОДЫ ПО ПРОЦЕНТАМ НОВОГО ФИНАН-Я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2384D"/>
    <outlinePr summaryBelow="0" summaryRight="0"/>
  </sheetPr>
  <dimension ref="A1:N944"/>
  <sheetViews>
    <sheetView workbookViewId="0"/>
  </sheetViews>
  <sheetFormatPr defaultColWidth="12.5390625" defaultRowHeight="15.75" customHeight="1" outlineLevelCol="1" x14ac:dyDescent="0.15"/>
  <cols>
    <col min="1" max="1" width="33.44140625" customWidth="1"/>
    <col min="2" max="2" width="18.7421875" customWidth="1" collapsed="1"/>
    <col min="3" max="3" width="7.953125" hidden="1" customWidth="1" outlineLevel="1"/>
    <col min="4" max="4" width="7.8203125" hidden="1" customWidth="1" outlineLevel="1"/>
    <col min="5" max="5" width="7.953125" hidden="1" customWidth="1" outlineLevel="1"/>
    <col min="6" max="6" width="7.68359375" hidden="1" customWidth="1" outlineLevel="1"/>
    <col min="7" max="14" width="7.4140625" hidden="1" customWidth="1" outlineLevel="1"/>
  </cols>
  <sheetData>
    <row r="1" spans="1:14" ht="42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customHeight="1" x14ac:dyDescent="0.15">
      <c r="A2" s="161" t="s">
        <v>54</v>
      </c>
      <c r="B2" s="162"/>
      <c r="C2" s="90"/>
      <c r="D2" s="90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3.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3.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7.25" x14ac:dyDescent="0.15">
      <c r="A5" s="163" t="s">
        <v>160</v>
      </c>
      <c r="B5" s="16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" x14ac:dyDescent="0.4">
      <c r="A6" s="56" t="s">
        <v>100</v>
      </c>
      <c r="B6" s="57">
        <v>45291</v>
      </c>
      <c r="C6" s="60">
        <v>45658</v>
      </c>
      <c r="D6" s="60">
        <v>45689</v>
      </c>
      <c r="E6" s="60">
        <v>45717</v>
      </c>
      <c r="F6" s="60">
        <v>45748</v>
      </c>
      <c r="G6" s="60">
        <v>45778</v>
      </c>
      <c r="H6" s="60">
        <v>45809</v>
      </c>
      <c r="I6" s="60">
        <v>45839</v>
      </c>
      <c r="J6" s="60">
        <v>45870</v>
      </c>
      <c r="K6" s="60">
        <v>45901</v>
      </c>
      <c r="L6" s="60">
        <v>45931</v>
      </c>
      <c r="M6" s="60">
        <v>45962</v>
      </c>
      <c r="N6" s="60">
        <v>45992</v>
      </c>
    </row>
    <row r="7" spans="1:14" ht="17.25" x14ac:dyDescent="0.3">
      <c r="A7" s="116" t="s">
        <v>161</v>
      </c>
      <c r="B7" s="77">
        <f>'CASH FLOW'!C9</f>
        <v>1486800000</v>
      </c>
      <c r="C7" s="77" t="e">
        <f t="shared" ref="C7:N7" si="0">#REF!</f>
        <v>#REF!</v>
      </c>
      <c r="D7" s="77" t="e">
        <f t="shared" si="0"/>
        <v>#REF!</v>
      </c>
      <c r="E7" s="77" t="e">
        <f t="shared" si="0"/>
        <v>#REF!</v>
      </c>
      <c r="F7" s="77" t="e">
        <f t="shared" si="0"/>
        <v>#REF!</v>
      </c>
      <c r="G7" s="77" t="e">
        <f t="shared" si="0"/>
        <v>#REF!</v>
      </c>
      <c r="H7" s="77" t="e">
        <f t="shared" si="0"/>
        <v>#REF!</v>
      </c>
      <c r="I7" s="77" t="e">
        <f t="shared" si="0"/>
        <v>#REF!</v>
      </c>
      <c r="J7" s="77" t="e">
        <f t="shared" si="0"/>
        <v>#REF!</v>
      </c>
      <c r="K7" s="77" t="e">
        <f t="shared" si="0"/>
        <v>#REF!</v>
      </c>
      <c r="L7" s="77" t="e">
        <f t="shared" si="0"/>
        <v>#REF!</v>
      </c>
      <c r="M7" s="77" t="e">
        <f t="shared" si="0"/>
        <v>#REF!</v>
      </c>
      <c r="N7" s="77" t="e">
        <f t="shared" si="0"/>
        <v>#REF!</v>
      </c>
    </row>
    <row r="8" spans="1:14" ht="17.25" x14ac:dyDescent="0.3">
      <c r="A8" s="116" t="s">
        <v>34</v>
      </c>
      <c r="B8" s="77">
        <f>'P&amp;L'!C7-'P&amp;L'!C12-'P&amp;L'!C26</f>
        <v>322472274.45887995</v>
      </c>
      <c r="C8" s="77" t="e">
        <f t="shared" ref="C8:N8" si="1">C10+C11+#REF!+#REF!+#REF!</f>
        <v>#REF!</v>
      </c>
      <c r="D8" s="77" t="e">
        <f t="shared" si="1"/>
        <v>#REF!</v>
      </c>
      <c r="E8" s="77" t="e">
        <f t="shared" si="1"/>
        <v>#REF!</v>
      </c>
      <c r="F8" s="77" t="e">
        <f t="shared" si="1"/>
        <v>#REF!</v>
      </c>
      <c r="G8" s="77" t="e">
        <f t="shared" si="1"/>
        <v>#REF!</v>
      </c>
      <c r="H8" s="77" t="e">
        <f t="shared" si="1"/>
        <v>#REF!</v>
      </c>
      <c r="I8" s="77" t="e">
        <f t="shared" si="1"/>
        <v>#REF!</v>
      </c>
      <c r="J8" s="77" t="e">
        <f t="shared" si="1"/>
        <v>#REF!</v>
      </c>
      <c r="K8" s="77" t="e">
        <f t="shared" si="1"/>
        <v>#REF!</v>
      </c>
      <c r="L8" s="77" t="e">
        <f t="shared" si="1"/>
        <v>#REF!</v>
      </c>
      <c r="M8" s="77" t="e">
        <f t="shared" si="1"/>
        <v>#REF!</v>
      </c>
      <c r="N8" s="77" t="e">
        <f t="shared" si="1"/>
        <v>#REF!</v>
      </c>
    </row>
    <row r="9" spans="1:14" ht="17.25" x14ac:dyDescent="0.3">
      <c r="A9" s="116" t="s">
        <v>159</v>
      </c>
      <c r="B9" s="77">
        <f>'P&amp;L'!C48</f>
        <v>121058674.45887989</v>
      </c>
      <c r="C9" s="77" t="e">
        <f t="shared" ref="C9:N9" si="2">#REF!+#REF!+#REF!+#REF!+#REF!</f>
        <v>#REF!</v>
      </c>
      <c r="D9" s="77" t="e">
        <f t="shared" si="2"/>
        <v>#REF!</v>
      </c>
      <c r="E9" s="77" t="e">
        <f t="shared" si="2"/>
        <v>#REF!</v>
      </c>
      <c r="F9" s="77" t="e">
        <f t="shared" si="2"/>
        <v>#REF!</v>
      </c>
      <c r="G9" s="77" t="e">
        <f t="shared" si="2"/>
        <v>#REF!</v>
      </c>
      <c r="H9" s="77" t="e">
        <f t="shared" si="2"/>
        <v>#REF!</v>
      </c>
      <c r="I9" s="77" t="e">
        <f t="shared" si="2"/>
        <v>#REF!</v>
      </c>
      <c r="J9" s="77" t="e">
        <f t="shared" si="2"/>
        <v>#REF!</v>
      </c>
      <c r="K9" s="77" t="e">
        <f t="shared" si="2"/>
        <v>#REF!</v>
      </c>
      <c r="L9" s="77" t="e">
        <f t="shared" si="2"/>
        <v>#REF!</v>
      </c>
      <c r="M9" s="77" t="e">
        <f t="shared" si="2"/>
        <v>#REF!</v>
      </c>
      <c r="N9" s="77" t="e">
        <f t="shared" si="2"/>
        <v>#REF!</v>
      </c>
    </row>
    <row r="10" spans="1:14" ht="17.25" x14ac:dyDescent="0.3">
      <c r="A10" s="134" t="s">
        <v>162</v>
      </c>
      <c r="B10" s="122">
        <f>B8/B7*100%</f>
        <v>0.21689014962259884</v>
      </c>
      <c r="C10" s="124" t="e">
        <f t="shared" ref="C10:N10" si="3">#REF!+#REF!</f>
        <v>#REF!</v>
      </c>
      <c r="D10" s="124" t="e">
        <f t="shared" si="3"/>
        <v>#REF!</v>
      </c>
      <c r="E10" s="124" t="e">
        <f t="shared" si="3"/>
        <v>#REF!</v>
      </c>
      <c r="F10" s="124" t="e">
        <f t="shared" si="3"/>
        <v>#REF!</v>
      </c>
      <c r="G10" s="124" t="e">
        <f t="shared" si="3"/>
        <v>#REF!</v>
      </c>
      <c r="H10" s="124" t="e">
        <f t="shared" si="3"/>
        <v>#REF!</v>
      </c>
      <c r="I10" s="124" t="e">
        <f t="shared" si="3"/>
        <v>#REF!</v>
      </c>
      <c r="J10" s="124" t="e">
        <f t="shared" si="3"/>
        <v>#REF!</v>
      </c>
      <c r="K10" s="124" t="e">
        <f t="shared" si="3"/>
        <v>#REF!</v>
      </c>
      <c r="L10" s="124" t="e">
        <f t="shared" si="3"/>
        <v>#REF!</v>
      </c>
      <c r="M10" s="124" t="e">
        <f t="shared" si="3"/>
        <v>#REF!</v>
      </c>
      <c r="N10" s="124" t="e">
        <f t="shared" si="3"/>
        <v>#REF!</v>
      </c>
    </row>
    <row r="11" spans="1:14" ht="17.25" x14ac:dyDescent="0.3">
      <c r="A11" s="134" t="s">
        <v>163</v>
      </c>
      <c r="B11" s="122">
        <f>B9/B7*100%</f>
        <v>8.1422299205595836E-2</v>
      </c>
      <c r="C11" s="124" t="e">
        <f t="shared" ref="C11:N11" si="4">#REF!+#REF!+#REF!</f>
        <v>#REF!</v>
      </c>
      <c r="D11" s="124" t="e">
        <f t="shared" si="4"/>
        <v>#REF!</v>
      </c>
      <c r="E11" s="124" t="e">
        <f t="shared" si="4"/>
        <v>#REF!</v>
      </c>
      <c r="F11" s="124" t="e">
        <f t="shared" si="4"/>
        <v>#REF!</v>
      </c>
      <c r="G11" s="124" t="e">
        <f t="shared" si="4"/>
        <v>#REF!</v>
      </c>
      <c r="H11" s="124" t="e">
        <f t="shared" si="4"/>
        <v>#REF!</v>
      </c>
      <c r="I11" s="124" t="e">
        <f t="shared" si="4"/>
        <v>#REF!</v>
      </c>
      <c r="J11" s="124" t="e">
        <f t="shared" si="4"/>
        <v>#REF!</v>
      </c>
      <c r="K11" s="124" t="e">
        <f t="shared" si="4"/>
        <v>#REF!</v>
      </c>
      <c r="L11" s="124" t="e">
        <f t="shared" si="4"/>
        <v>#REF!</v>
      </c>
      <c r="M11" s="124" t="e">
        <f t="shared" si="4"/>
        <v>#REF!</v>
      </c>
      <c r="N11" s="124" t="e">
        <f t="shared" si="4"/>
        <v>#REF!</v>
      </c>
    </row>
    <row r="12" spans="1:14" ht="17.25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7.25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7.25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7.25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7.25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7.25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7.25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7.25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7.25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7.25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7.25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7.25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7.25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7.25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7.25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7.25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7.25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7.25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7.25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7.25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7.25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7.25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7.25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7.25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7.25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7.25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7.25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7.25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7.25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7.25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7.25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7.25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7.25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7.25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7.25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7.25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7.25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7.25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7.25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7.25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7.25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7.25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7.25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7.25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7.25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7.25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7.25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7.25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7.25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7.25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7.25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7.25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7.25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7.25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7.25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7.25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7.25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7.25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7.25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7.25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7.25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7.25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7.25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7.25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7.25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7.25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7.25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7.25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7.25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7.25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7.25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7.25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7.25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7.25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7.25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7.25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7.25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7.25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7.25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7.25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7.25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7.25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7.25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7.25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7.25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7.25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7.25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7.25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7.25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7.25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7.25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7.25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7.25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7.25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17.25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7.25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7.25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7.25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17.25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17.25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ht="17.25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7.25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7.25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7.25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7.25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7.25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7.25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7.25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7.25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7.25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7.25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7.25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7.25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17.25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7.25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7.25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7.25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17.25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7.25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17.25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17.25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7.25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7.25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7.25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7.25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7.25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7.25" x14ac:dyDescent="0.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7.25" x14ac:dyDescent="0.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7.25" x14ac:dyDescent="0.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7.25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7.25" x14ac:dyDescent="0.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7.25" x14ac:dyDescent="0.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7.25" x14ac:dyDescent="0.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7.25" x14ac:dyDescent="0.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7.25" x14ac:dyDescent="0.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7.25" x14ac:dyDescent="0.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7.25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7.25" x14ac:dyDescent="0.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7.25" x14ac:dyDescent="0.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7.25" x14ac:dyDescent="0.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7.25" x14ac:dyDescent="0.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7.25" x14ac:dyDescent="0.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7.25" x14ac:dyDescent="0.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7.25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7.25" x14ac:dyDescent="0.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7.25" x14ac:dyDescent="0.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7.25" x14ac:dyDescent="0.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7.25" x14ac:dyDescent="0.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7.25" x14ac:dyDescent="0.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ht="17.25" x14ac:dyDescent="0.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17.25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17.25" x14ac:dyDescent="0.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ht="17.25" x14ac:dyDescent="0.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7.25" x14ac:dyDescent="0.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7.25" x14ac:dyDescent="0.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17.25" x14ac:dyDescent="0.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7.25" x14ac:dyDescent="0.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17.25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7.25" x14ac:dyDescent="0.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7.25" x14ac:dyDescent="0.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ht="17.25" x14ac:dyDescent="0.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17.25" x14ac:dyDescent="0.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7.25" x14ac:dyDescent="0.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7.25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7.25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7.25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7.25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7.25" x14ac:dyDescent="0.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7.25" x14ac:dyDescent="0.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7.25" x14ac:dyDescent="0.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7.25" x14ac:dyDescent="0.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7.25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7.25" x14ac:dyDescent="0.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7.25" x14ac:dyDescent="0.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7.25" x14ac:dyDescent="0.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7.25" x14ac:dyDescent="0.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7.25" x14ac:dyDescent="0.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7.25" x14ac:dyDescent="0.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7.25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7.25" x14ac:dyDescent="0.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7.25" x14ac:dyDescent="0.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7.25" x14ac:dyDescent="0.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7.25" x14ac:dyDescent="0.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7.25" x14ac:dyDescent="0.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7.25" x14ac:dyDescent="0.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7.25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7.25" x14ac:dyDescent="0.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7.25" x14ac:dyDescent="0.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7.25" x14ac:dyDescent="0.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17.25" x14ac:dyDescent="0.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7.25" x14ac:dyDescent="0.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7.25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7.25" x14ac:dyDescent="0.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7.25" x14ac:dyDescent="0.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7.25" x14ac:dyDescent="0.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7.25" x14ac:dyDescent="0.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7.25" x14ac:dyDescent="0.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7.25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7.25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7.25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7.25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7.25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7.25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ht="17.25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7.25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ht="17.25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ht="17.25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ht="17.25" x14ac:dyDescent="0.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ht="17.25" x14ac:dyDescent="0.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 ht="17.25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 ht="17.25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 ht="17.25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1:14" ht="17.25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1:14" ht="17.25" x14ac:dyDescent="0.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1:14" ht="17.25" x14ac:dyDescent="0.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1:14" ht="17.25" x14ac:dyDescent="0.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1:14" ht="17.25" x14ac:dyDescent="0.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1:14" ht="17.25" x14ac:dyDescent="0.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4" ht="17.25" x14ac:dyDescent="0.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7.25" x14ac:dyDescent="0.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7.25" x14ac:dyDescent="0.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7.25" x14ac:dyDescent="0.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7.25" x14ac:dyDescent="0.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7.25" x14ac:dyDescent="0.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7.25" x14ac:dyDescent="0.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7.25" x14ac:dyDescent="0.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7.25" x14ac:dyDescent="0.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7.25" x14ac:dyDescent="0.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7.25" x14ac:dyDescent="0.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7.25" x14ac:dyDescent="0.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7.25" x14ac:dyDescent="0.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7.25" x14ac:dyDescent="0.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ht="17.25" x14ac:dyDescent="0.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7.25" x14ac:dyDescent="0.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1:14" ht="17.25" x14ac:dyDescent="0.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 ht="17.25" x14ac:dyDescent="0.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ht="17.25" x14ac:dyDescent="0.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17.25" x14ac:dyDescent="0.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17.25" x14ac:dyDescent="0.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ht="17.25" x14ac:dyDescent="0.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 ht="17.25" x14ac:dyDescent="0.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17.25" x14ac:dyDescent="0.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ht="17.25" x14ac:dyDescent="0.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1:14" ht="17.25" x14ac:dyDescent="0.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 ht="17.25" x14ac:dyDescent="0.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ht="17.25" x14ac:dyDescent="0.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17.25" x14ac:dyDescent="0.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17.25" x14ac:dyDescent="0.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7.25" x14ac:dyDescent="0.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7.25" x14ac:dyDescent="0.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7.25" x14ac:dyDescent="0.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7.25" x14ac:dyDescent="0.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7.25" x14ac:dyDescent="0.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7.25" x14ac:dyDescent="0.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7.25" x14ac:dyDescent="0.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7.25" x14ac:dyDescent="0.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7.25" x14ac:dyDescent="0.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7.25" x14ac:dyDescent="0.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ht="17.25" x14ac:dyDescent="0.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7.25" x14ac:dyDescent="0.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17.25" x14ac:dyDescent="0.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7.25" x14ac:dyDescent="0.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7.25" x14ac:dyDescent="0.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7.25" x14ac:dyDescent="0.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17.25" x14ac:dyDescent="0.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ht="17.25" x14ac:dyDescent="0.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17.25" x14ac:dyDescent="0.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17.25" x14ac:dyDescent="0.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17.25" x14ac:dyDescent="0.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ht="17.25" x14ac:dyDescent="0.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17.25" x14ac:dyDescent="0.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1:14" ht="17.25" x14ac:dyDescent="0.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 ht="17.25" x14ac:dyDescent="0.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1:14" ht="17.25" x14ac:dyDescent="0.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 ht="17.25" x14ac:dyDescent="0.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ht="17.25" x14ac:dyDescent="0.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1:14" ht="17.25" x14ac:dyDescent="0.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1:14" ht="17.25" x14ac:dyDescent="0.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7.25" x14ac:dyDescent="0.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7.25" x14ac:dyDescent="0.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7.25" x14ac:dyDescent="0.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7.25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7.25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7.25" x14ac:dyDescent="0.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7.25" x14ac:dyDescent="0.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7.25" x14ac:dyDescent="0.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1:14" ht="17.25" x14ac:dyDescent="0.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7.25" x14ac:dyDescent="0.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1:14" ht="17.25" x14ac:dyDescent="0.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7.25" x14ac:dyDescent="0.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 ht="17.25" x14ac:dyDescent="0.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1:14" ht="17.25" x14ac:dyDescent="0.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1:14" ht="17.25" x14ac:dyDescent="0.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ht="17.25" x14ac:dyDescent="0.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 ht="17.25" x14ac:dyDescent="0.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 ht="17.25" x14ac:dyDescent="0.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1:14" ht="17.25" x14ac:dyDescent="0.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1:14" ht="17.25" x14ac:dyDescent="0.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1:14" ht="17.25" x14ac:dyDescent="0.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 ht="17.25" x14ac:dyDescent="0.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 ht="17.25" x14ac:dyDescent="0.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1:14" ht="17.25" x14ac:dyDescent="0.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ht="17.25" x14ac:dyDescent="0.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1:14" ht="17.25" x14ac:dyDescent="0.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7.25" x14ac:dyDescent="0.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7.25" x14ac:dyDescent="0.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7.25" x14ac:dyDescent="0.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7.25" x14ac:dyDescent="0.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7.25" x14ac:dyDescent="0.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7.25" x14ac:dyDescent="0.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7.25" x14ac:dyDescent="0.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7.25" x14ac:dyDescent="0.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7.25" x14ac:dyDescent="0.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7.25" x14ac:dyDescent="0.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7.25" x14ac:dyDescent="0.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7.25" x14ac:dyDescent="0.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7.25" x14ac:dyDescent="0.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7.25" x14ac:dyDescent="0.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7.25" x14ac:dyDescent="0.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7.25" x14ac:dyDescent="0.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7.25" x14ac:dyDescent="0.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7.25" x14ac:dyDescent="0.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7.25" x14ac:dyDescent="0.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7.25" x14ac:dyDescent="0.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7.25" x14ac:dyDescent="0.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7.25" x14ac:dyDescent="0.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7.25" x14ac:dyDescent="0.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7.25" x14ac:dyDescent="0.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7.25" x14ac:dyDescent="0.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7.25" x14ac:dyDescent="0.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7.25" x14ac:dyDescent="0.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7.25" x14ac:dyDescent="0.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7.25" x14ac:dyDescent="0.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7.25" x14ac:dyDescent="0.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7.25" x14ac:dyDescent="0.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7.25" x14ac:dyDescent="0.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7.25" x14ac:dyDescent="0.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7.25" x14ac:dyDescent="0.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7.25" x14ac:dyDescent="0.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7.25" x14ac:dyDescent="0.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7.25" x14ac:dyDescent="0.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7.25" x14ac:dyDescent="0.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7.25" x14ac:dyDescent="0.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7.25" x14ac:dyDescent="0.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7.25" x14ac:dyDescent="0.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7.25" x14ac:dyDescent="0.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7.25" x14ac:dyDescent="0.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7.25" x14ac:dyDescent="0.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7.25" x14ac:dyDescent="0.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7.25" x14ac:dyDescent="0.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7.25" x14ac:dyDescent="0.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7.25" x14ac:dyDescent="0.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7.25" x14ac:dyDescent="0.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7.25" x14ac:dyDescent="0.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7.25" x14ac:dyDescent="0.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7.25" x14ac:dyDescent="0.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7.25" x14ac:dyDescent="0.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7.25" x14ac:dyDescent="0.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7.25" x14ac:dyDescent="0.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7.25" x14ac:dyDescent="0.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7.25" x14ac:dyDescent="0.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7.25" x14ac:dyDescent="0.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7.25" x14ac:dyDescent="0.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7.25" x14ac:dyDescent="0.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7.25" x14ac:dyDescent="0.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7.25" x14ac:dyDescent="0.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7.25" x14ac:dyDescent="0.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7.25" x14ac:dyDescent="0.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7.25" x14ac:dyDescent="0.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7.25" x14ac:dyDescent="0.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7.25" x14ac:dyDescent="0.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7.25" x14ac:dyDescent="0.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7.25" x14ac:dyDescent="0.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7.25" x14ac:dyDescent="0.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7.25" x14ac:dyDescent="0.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7.25" x14ac:dyDescent="0.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7.25" x14ac:dyDescent="0.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7.25" x14ac:dyDescent="0.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7.25" x14ac:dyDescent="0.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7.25" x14ac:dyDescent="0.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7.25" x14ac:dyDescent="0.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7.25" x14ac:dyDescent="0.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7.25" x14ac:dyDescent="0.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7.25" x14ac:dyDescent="0.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7.25" x14ac:dyDescent="0.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7.25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7.25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7.25" x14ac:dyDescent="0.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7.25" x14ac:dyDescent="0.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7.25" x14ac:dyDescent="0.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7.25" x14ac:dyDescent="0.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7.25" x14ac:dyDescent="0.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7.25" x14ac:dyDescent="0.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7.25" x14ac:dyDescent="0.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7.25" x14ac:dyDescent="0.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7.25" x14ac:dyDescent="0.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7.25" x14ac:dyDescent="0.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7.25" x14ac:dyDescent="0.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7.25" x14ac:dyDescent="0.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7.25" x14ac:dyDescent="0.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7.25" x14ac:dyDescent="0.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7.25" x14ac:dyDescent="0.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7.25" x14ac:dyDescent="0.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7.25" x14ac:dyDescent="0.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7.25" x14ac:dyDescent="0.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7.25" x14ac:dyDescent="0.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7.25" x14ac:dyDescent="0.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7.25" x14ac:dyDescent="0.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7.25" x14ac:dyDescent="0.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7.25" x14ac:dyDescent="0.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7.25" x14ac:dyDescent="0.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7.25" x14ac:dyDescent="0.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7.25" x14ac:dyDescent="0.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  <row r="425" spans="1:14" ht="17.25" x14ac:dyDescent="0.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</row>
    <row r="426" spans="1:14" ht="17.25" x14ac:dyDescent="0.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</row>
    <row r="427" spans="1:14" ht="17.25" x14ac:dyDescent="0.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</row>
    <row r="428" spans="1:14" ht="17.25" x14ac:dyDescent="0.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</row>
    <row r="429" spans="1:14" ht="17.25" x14ac:dyDescent="0.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</row>
    <row r="430" spans="1:14" ht="17.25" x14ac:dyDescent="0.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</row>
    <row r="431" spans="1:14" ht="17.25" x14ac:dyDescent="0.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</row>
    <row r="432" spans="1:14" ht="17.25" x14ac:dyDescent="0.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</row>
    <row r="433" spans="1:14" ht="17.25" x14ac:dyDescent="0.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</row>
    <row r="434" spans="1:14" ht="17.25" x14ac:dyDescent="0.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</row>
    <row r="435" spans="1:14" ht="17.25" x14ac:dyDescent="0.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</row>
    <row r="436" spans="1:14" ht="17.25" x14ac:dyDescent="0.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</row>
    <row r="437" spans="1:14" ht="17.25" x14ac:dyDescent="0.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</row>
    <row r="438" spans="1:14" ht="17.25" x14ac:dyDescent="0.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</row>
    <row r="439" spans="1:14" ht="17.25" x14ac:dyDescent="0.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</row>
    <row r="440" spans="1:14" ht="17.25" x14ac:dyDescent="0.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</row>
    <row r="441" spans="1:14" ht="17.25" x14ac:dyDescent="0.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</row>
    <row r="442" spans="1:14" ht="17.25" x14ac:dyDescent="0.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</row>
    <row r="443" spans="1:14" ht="17.25" x14ac:dyDescent="0.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</row>
    <row r="444" spans="1:14" ht="17.25" x14ac:dyDescent="0.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</row>
    <row r="445" spans="1:14" ht="17.25" x14ac:dyDescent="0.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</row>
    <row r="446" spans="1:14" ht="17.25" x14ac:dyDescent="0.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</row>
    <row r="447" spans="1:14" ht="17.25" x14ac:dyDescent="0.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</row>
    <row r="448" spans="1:14" ht="17.25" x14ac:dyDescent="0.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</row>
    <row r="449" spans="1:14" ht="17.25" x14ac:dyDescent="0.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</row>
    <row r="450" spans="1:14" ht="17.25" x14ac:dyDescent="0.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</row>
    <row r="451" spans="1:14" ht="17.25" x14ac:dyDescent="0.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</row>
    <row r="452" spans="1:14" ht="17.25" x14ac:dyDescent="0.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</row>
    <row r="453" spans="1:14" ht="17.25" x14ac:dyDescent="0.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</row>
    <row r="454" spans="1:14" ht="17.25" x14ac:dyDescent="0.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</row>
    <row r="455" spans="1:14" ht="17.25" x14ac:dyDescent="0.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</row>
    <row r="456" spans="1:14" ht="17.25" x14ac:dyDescent="0.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</row>
    <row r="457" spans="1:14" ht="17.25" x14ac:dyDescent="0.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</row>
    <row r="458" spans="1:14" ht="17.25" x14ac:dyDescent="0.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</row>
    <row r="459" spans="1:14" ht="17.25" x14ac:dyDescent="0.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</row>
    <row r="460" spans="1:14" ht="17.25" x14ac:dyDescent="0.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</row>
    <row r="461" spans="1:14" ht="17.25" x14ac:dyDescent="0.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</row>
    <row r="462" spans="1:14" ht="17.25" x14ac:dyDescent="0.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</row>
    <row r="463" spans="1:14" ht="17.25" x14ac:dyDescent="0.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</row>
    <row r="464" spans="1:14" ht="17.25" x14ac:dyDescent="0.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</row>
    <row r="465" spans="1:14" ht="17.25" x14ac:dyDescent="0.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</row>
    <row r="466" spans="1:14" ht="17.25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</row>
    <row r="467" spans="1:14" ht="17.25" x14ac:dyDescent="0.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</row>
    <row r="468" spans="1:14" ht="17.25" x14ac:dyDescent="0.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</row>
    <row r="469" spans="1:14" ht="17.25" x14ac:dyDescent="0.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</row>
    <row r="470" spans="1:14" ht="17.25" x14ac:dyDescent="0.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</row>
    <row r="471" spans="1:14" ht="17.25" x14ac:dyDescent="0.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</row>
    <row r="472" spans="1:14" ht="17.25" x14ac:dyDescent="0.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</row>
    <row r="473" spans="1:14" ht="17.25" x14ac:dyDescent="0.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</row>
    <row r="474" spans="1:14" ht="17.25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</row>
    <row r="475" spans="1:14" ht="17.25" x14ac:dyDescent="0.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</row>
    <row r="476" spans="1:14" ht="17.25" x14ac:dyDescent="0.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</row>
    <row r="477" spans="1:14" ht="17.25" x14ac:dyDescent="0.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</row>
    <row r="478" spans="1:14" ht="17.25" x14ac:dyDescent="0.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</row>
    <row r="479" spans="1:14" ht="17.25" x14ac:dyDescent="0.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</row>
    <row r="480" spans="1:14" ht="17.25" x14ac:dyDescent="0.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</row>
    <row r="481" spans="1:14" ht="17.25" x14ac:dyDescent="0.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</row>
    <row r="482" spans="1:14" ht="17.25" x14ac:dyDescent="0.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</row>
    <row r="483" spans="1:14" ht="17.25" x14ac:dyDescent="0.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</row>
    <row r="484" spans="1:14" ht="17.25" x14ac:dyDescent="0.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</row>
    <row r="485" spans="1:14" ht="17.25" x14ac:dyDescent="0.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</row>
    <row r="486" spans="1:14" ht="17.25" x14ac:dyDescent="0.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</row>
    <row r="487" spans="1:14" ht="17.25" x14ac:dyDescent="0.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</row>
    <row r="488" spans="1:14" ht="17.25" x14ac:dyDescent="0.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</row>
    <row r="489" spans="1:14" ht="17.25" x14ac:dyDescent="0.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</row>
    <row r="490" spans="1:14" ht="17.25" x14ac:dyDescent="0.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</row>
    <row r="491" spans="1:14" ht="17.25" x14ac:dyDescent="0.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</row>
    <row r="492" spans="1:14" ht="17.25" x14ac:dyDescent="0.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</row>
    <row r="493" spans="1:14" ht="17.25" x14ac:dyDescent="0.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</row>
    <row r="494" spans="1:14" ht="17.25" x14ac:dyDescent="0.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</row>
    <row r="495" spans="1:14" ht="17.25" x14ac:dyDescent="0.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</row>
    <row r="496" spans="1:14" ht="17.25" x14ac:dyDescent="0.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</row>
    <row r="497" spans="1:14" ht="17.25" x14ac:dyDescent="0.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</row>
    <row r="498" spans="1:14" ht="17.25" x14ac:dyDescent="0.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</row>
    <row r="499" spans="1:14" ht="17.25" x14ac:dyDescent="0.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</row>
    <row r="500" spans="1:14" ht="17.25" x14ac:dyDescent="0.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</row>
    <row r="501" spans="1:14" ht="17.25" x14ac:dyDescent="0.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</row>
    <row r="502" spans="1:14" ht="17.25" x14ac:dyDescent="0.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</row>
    <row r="503" spans="1:14" ht="17.25" x14ac:dyDescent="0.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</row>
    <row r="504" spans="1:14" ht="17.25" x14ac:dyDescent="0.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</row>
    <row r="505" spans="1:14" ht="17.25" x14ac:dyDescent="0.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</row>
    <row r="506" spans="1:14" ht="17.25" x14ac:dyDescent="0.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</row>
    <row r="507" spans="1:14" ht="17.25" x14ac:dyDescent="0.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</row>
    <row r="508" spans="1:14" ht="17.25" x14ac:dyDescent="0.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</row>
    <row r="509" spans="1:14" ht="17.25" x14ac:dyDescent="0.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</row>
    <row r="510" spans="1:14" ht="17.25" x14ac:dyDescent="0.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</row>
    <row r="511" spans="1:14" ht="17.25" x14ac:dyDescent="0.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</row>
    <row r="512" spans="1:14" ht="17.25" x14ac:dyDescent="0.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</row>
    <row r="513" spans="1:14" ht="17.25" x14ac:dyDescent="0.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</row>
    <row r="514" spans="1:14" ht="17.25" x14ac:dyDescent="0.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</row>
    <row r="515" spans="1:14" ht="17.25" x14ac:dyDescent="0.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</row>
    <row r="516" spans="1:14" ht="17.25" x14ac:dyDescent="0.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</row>
    <row r="517" spans="1:14" ht="17.25" x14ac:dyDescent="0.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</row>
    <row r="518" spans="1:14" ht="17.25" x14ac:dyDescent="0.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</row>
    <row r="519" spans="1:14" ht="17.25" x14ac:dyDescent="0.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</row>
    <row r="520" spans="1:14" ht="17.25" x14ac:dyDescent="0.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</row>
    <row r="521" spans="1:14" ht="17.25" x14ac:dyDescent="0.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</row>
    <row r="522" spans="1:14" ht="17.25" x14ac:dyDescent="0.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</row>
    <row r="523" spans="1:14" ht="17.25" x14ac:dyDescent="0.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</row>
    <row r="524" spans="1:14" ht="17.25" x14ac:dyDescent="0.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</row>
    <row r="525" spans="1:14" ht="17.25" x14ac:dyDescent="0.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</row>
    <row r="526" spans="1:14" ht="17.25" x14ac:dyDescent="0.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</row>
    <row r="527" spans="1:14" ht="17.25" x14ac:dyDescent="0.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</row>
    <row r="528" spans="1:14" ht="17.25" x14ac:dyDescent="0.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</row>
    <row r="529" spans="1:14" ht="17.25" x14ac:dyDescent="0.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</row>
    <row r="530" spans="1:14" ht="17.25" x14ac:dyDescent="0.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</row>
    <row r="531" spans="1:14" ht="17.25" x14ac:dyDescent="0.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</row>
    <row r="532" spans="1:14" ht="17.25" x14ac:dyDescent="0.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</row>
    <row r="533" spans="1:14" ht="17.25" x14ac:dyDescent="0.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</row>
    <row r="534" spans="1:14" ht="17.25" x14ac:dyDescent="0.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</row>
    <row r="535" spans="1:14" ht="17.25" x14ac:dyDescent="0.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</row>
    <row r="536" spans="1:14" ht="17.25" x14ac:dyDescent="0.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</row>
    <row r="537" spans="1:14" ht="17.25" x14ac:dyDescent="0.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</row>
    <row r="538" spans="1:14" ht="17.25" x14ac:dyDescent="0.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</row>
    <row r="539" spans="1:14" ht="17.25" x14ac:dyDescent="0.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</row>
    <row r="540" spans="1:14" ht="17.25" x14ac:dyDescent="0.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</row>
    <row r="541" spans="1:14" ht="17.25" x14ac:dyDescent="0.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</row>
    <row r="542" spans="1:14" ht="17.25" x14ac:dyDescent="0.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</row>
    <row r="543" spans="1:14" ht="17.25" x14ac:dyDescent="0.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</row>
    <row r="544" spans="1:14" ht="17.25" x14ac:dyDescent="0.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</row>
    <row r="545" spans="1:14" ht="17.25" x14ac:dyDescent="0.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</row>
    <row r="546" spans="1:14" ht="17.25" x14ac:dyDescent="0.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</row>
    <row r="547" spans="1:14" ht="17.25" x14ac:dyDescent="0.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</row>
    <row r="548" spans="1:14" ht="17.25" x14ac:dyDescent="0.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</row>
    <row r="549" spans="1:14" ht="17.25" x14ac:dyDescent="0.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</row>
    <row r="550" spans="1:14" ht="17.25" x14ac:dyDescent="0.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</row>
    <row r="551" spans="1:14" ht="17.25" x14ac:dyDescent="0.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</row>
    <row r="552" spans="1:14" ht="17.25" x14ac:dyDescent="0.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</row>
    <row r="553" spans="1:14" ht="17.25" x14ac:dyDescent="0.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</row>
    <row r="554" spans="1:14" ht="17.25" x14ac:dyDescent="0.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</row>
    <row r="555" spans="1:14" ht="17.25" x14ac:dyDescent="0.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</row>
    <row r="556" spans="1:14" ht="17.25" x14ac:dyDescent="0.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</row>
    <row r="557" spans="1:14" ht="17.25" x14ac:dyDescent="0.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</row>
    <row r="558" spans="1:14" ht="17.25" x14ac:dyDescent="0.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</row>
    <row r="559" spans="1:14" ht="17.25" x14ac:dyDescent="0.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</row>
    <row r="560" spans="1:14" ht="17.25" x14ac:dyDescent="0.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</row>
    <row r="561" spans="1:14" ht="17.25" x14ac:dyDescent="0.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</row>
    <row r="562" spans="1:14" ht="17.25" x14ac:dyDescent="0.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</row>
    <row r="563" spans="1:14" ht="17.25" x14ac:dyDescent="0.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</row>
    <row r="564" spans="1:14" ht="17.25" x14ac:dyDescent="0.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</row>
    <row r="565" spans="1:14" ht="17.25" x14ac:dyDescent="0.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</row>
    <row r="566" spans="1:14" ht="17.25" x14ac:dyDescent="0.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</row>
    <row r="567" spans="1:14" ht="17.25" x14ac:dyDescent="0.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</row>
    <row r="568" spans="1:14" ht="17.25" x14ac:dyDescent="0.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</row>
    <row r="569" spans="1:14" ht="17.25" x14ac:dyDescent="0.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</row>
    <row r="570" spans="1:14" ht="17.25" x14ac:dyDescent="0.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</row>
    <row r="571" spans="1:14" ht="17.25" x14ac:dyDescent="0.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</row>
    <row r="572" spans="1:14" ht="17.25" x14ac:dyDescent="0.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</row>
    <row r="573" spans="1:14" ht="17.25" x14ac:dyDescent="0.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</row>
    <row r="574" spans="1:14" ht="17.25" x14ac:dyDescent="0.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</row>
    <row r="575" spans="1:14" ht="17.25" x14ac:dyDescent="0.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</row>
    <row r="576" spans="1:14" ht="17.25" x14ac:dyDescent="0.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</row>
    <row r="577" spans="1:14" ht="17.25" x14ac:dyDescent="0.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</row>
    <row r="578" spans="1:14" ht="17.25" x14ac:dyDescent="0.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</row>
    <row r="579" spans="1:14" ht="17.25" x14ac:dyDescent="0.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</row>
    <row r="580" spans="1:14" ht="17.25" x14ac:dyDescent="0.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</row>
    <row r="581" spans="1:14" ht="17.25" x14ac:dyDescent="0.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</row>
    <row r="582" spans="1:14" ht="17.25" x14ac:dyDescent="0.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</row>
    <row r="583" spans="1:14" ht="17.25" x14ac:dyDescent="0.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</row>
    <row r="584" spans="1:14" ht="17.25" x14ac:dyDescent="0.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</row>
    <row r="585" spans="1:14" ht="17.25" x14ac:dyDescent="0.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</row>
    <row r="586" spans="1:14" ht="17.25" x14ac:dyDescent="0.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</row>
    <row r="587" spans="1:14" ht="17.25" x14ac:dyDescent="0.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</row>
    <row r="588" spans="1:14" ht="17.25" x14ac:dyDescent="0.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</row>
    <row r="589" spans="1:14" ht="17.25" x14ac:dyDescent="0.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</row>
    <row r="590" spans="1:14" ht="17.25" x14ac:dyDescent="0.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</row>
    <row r="591" spans="1:14" ht="17.25" x14ac:dyDescent="0.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</row>
    <row r="592" spans="1:14" ht="17.25" x14ac:dyDescent="0.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</row>
    <row r="593" spans="1:14" ht="17.25" x14ac:dyDescent="0.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</row>
    <row r="594" spans="1:14" ht="17.25" x14ac:dyDescent="0.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</row>
    <row r="595" spans="1:14" ht="17.25" x14ac:dyDescent="0.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</row>
    <row r="596" spans="1:14" ht="17.25" x14ac:dyDescent="0.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</row>
    <row r="597" spans="1:14" ht="17.25" x14ac:dyDescent="0.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</row>
    <row r="598" spans="1:14" ht="17.25" x14ac:dyDescent="0.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</row>
    <row r="599" spans="1:14" ht="17.25" x14ac:dyDescent="0.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</row>
    <row r="600" spans="1:14" ht="17.25" x14ac:dyDescent="0.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</row>
    <row r="601" spans="1:14" ht="17.25" x14ac:dyDescent="0.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</row>
    <row r="602" spans="1:14" ht="17.25" x14ac:dyDescent="0.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</row>
    <row r="603" spans="1:14" ht="17.25" x14ac:dyDescent="0.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</row>
    <row r="604" spans="1:14" ht="17.25" x14ac:dyDescent="0.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</row>
    <row r="605" spans="1:14" ht="17.25" x14ac:dyDescent="0.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</row>
    <row r="606" spans="1:14" ht="17.25" x14ac:dyDescent="0.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</row>
    <row r="607" spans="1:14" ht="17.25" x14ac:dyDescent="0.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</row>
    <row r="608" spans="1:14" ht="17.25" x14ac:dyDescent="0.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</row>
    <row r="609" spans="1:14" ht="17.25" x14ac:dyDescent="0.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</row>
    <row r="610" spans="1:14" ht="17.25" x14ac:dyDescent="0.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</row>
    <row r="611" spans="1:14" ht="17.25" x14ac:dyDescent="0.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</row>
    <row r="612" spans="1:14" ht="17.25" x14ac:dyDescent="0.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</row>
    <row r="613" spans="1:14" ht="17.25" x14ac:dyDescent="0.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</row>
    <row r="614" spans="1:14" ht="17.25" x14ac:dyDescent="0.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</row>
    <row r="615" spans="1:14" ht="17.25" x14ac:dyDescent="0.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</row>
    <row r="616" spans="1:14" ht="17.25" x14ac:dyDescent="0.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</row>
    <row r="617" spans="1:14" ht="17.25" x14ac:dyDescent="0.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</row>
    <row r="618" spans="1:14" ht="17.25" x14ac:dyDescent="0.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</row>
    <row r="619" spans="1:14" ht="17.25" x14ac:dyDescent="0.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</row>
    <row r="620" spans="1:14" ht="17.25" x14ac:dyDescent="0.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</row>
    <row r="621" spans="1:14" ht="17.25" x14ac:dyDescent="0.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</row>
    <row r="622" spans="1:14" ht="17.25" x14ac:dyDescent="0.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</row>
    <row r="623" spans="1:14" ht="17.25" x14ac:dyDescent="0.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</row>
    <row r="624" spans="1:14" ht="17.25" x14ac:dyDescent="0.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</row>
    <row r="625" spans="1:14" ht="17.25" x14ac:dyDescent="0.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</row>
    <row r="626" spans="1:14" ht="17.25" x14ac:dyDescent="0.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</row>
    <row r="627" spans="1:14" ht="17.25" x14ac:dyDescent="0.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</row>
    <row r="628" spans="1:14" ht="17.25" x14ac:dyDescent="0.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</row>
    <row r="629" spans="1:14" ht="17.25" x14ac:dyDescent="0.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</row>
    <row r="630" spans="1:14" ht="17.25" x14ac:dyDescent="0.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</row>
    <row r="631" spans="1:14" ht="17.25" x14ac:dyDescent="0.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</row>
    <row r="632" spans="1:14" ht="17.25" x14ac:dyDescent="0.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</row>
    <row r="633" spans="1:14" ht="17.25" x14ac:dyDescent="0.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</row>
    <row r="634" spans="1:14" ht="17.25" x14ac:dyDescent="0.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</row>
    <row r="635" spans="1:14" ht="17.25" x14ac:dyDescent="0.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</row>
    <row r="636" spans="1:14" ht="17.25" x14ac:dyDescent="0.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</row>
    <row r="637" spans="1:14" ht="17.25" x14ac:dyDescent="0.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</row>
    <row r="638" spans="1:14" ht="17.25" x14ac:dyDescent="0.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</row>
    <row r="639" spans="1:14" ht="17.25" x14ac:dyDescent="0.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</row>
    <row r="640" spans="1:14" ht="17.25" x14ac:dyDescent="0.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</row>
    <row r="641" spans="1:14" ht="17.25" x14ac:dyDescent="0.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</row>
    <row r="642" spans="1:14" ht="17.25" x14ac:dyDescent="0.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</row>
    <row r="643" spans="1:14" ht="17.25" x14ac:dyDescent="0.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</row>
    <row r="644" spans="1:14" ht="17.25" x14ac:dyDescent="0.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</row>
    <row r="645" spans="1:14" ht="17.25" x14ac:dyDescent="0.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</row>
    <row r="646" spans="1:14" ht="17.25" x14ac:dyDescent="0.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</row>
    <row r="647" spans="1:14" ht="17.25" x14ac:dyDescent="0.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</row>
    <row r="648" spans="1:14" ht="17.25" x14ac:dyDescent="0.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</row>
    <row r="649" spans="1:14" ht="17.25" x14ac:dyDescent="0.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</row>
    <row r="650" spans="1:14" ht="17.25" x14ac:dyDescent="0.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</row>
    <row r="651" spans="1:14" ht="17.25" x14ac:dyDescent="0.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</row>
    <row r="652" spans="1:14" ht="17.25" x14ac:dyDescent="0.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</row>
    <row r="653" spans="1:14" ht="17.25" x14ac:dyDescent="0.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</row>
    <row r="654" spans="1:14" ht="17.25" x14ac:dyDescent="0.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</row>
    <row r="655" spans="1:14" ht="17.25" x14ac:dyDescent="0.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</row>
    <row r="656" spans="1:14" ht="17.25" x14ac:dyDescent="0.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</row>
    <row r="657" spans="1:14" ht="17.25" x14ac:dyDescent="0.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</row>
    <row r="658" spans="1:14" ht="17.25" x14ac:dyDescent="0.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</row>
    <row r="659" spans="1:14" ht="17.25" x14ac:dyDescent="0.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</row>
    <row r="660" spans="1:14" ht="17.25" x14ac:dyDescent="0.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</row>
    <row r="661" spans="1:14" ht="17.25" x14ac:dyDescent="0.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</row>
    <row r="662" spans="1:14" ht="17.25" x14ac:dyDescent="0.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</row>
    <row r="663" spans="1:14" ht="17.25" x14ac:dyDescent="0.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</row>
    <row r="664" spans="1:14" ht="17.25" x14ac:dyDescent="0.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</row>
    <row r="665" spans="1:14" ht="17.25" x14ac:dyDescent="0.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</row>
    <row r="666" spans="1:14" ht="17.25" x14ac:dyDescent="0.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</row>
    <row r="667" spans="1:14" ht="17.25" x14ac:dyDescent="0.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</row>
    <row r="668" spans="1:14" ht="17.25" x14ac:dyDescent="0.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</row>
    <row r="669" spans="1:14" ht="17.25" x14ac:dyDescent="0.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</row>
    <row r="670" spans="1:14" ht="17.25" x14ac:dyDescent="0.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</row>
    <row r="671" spans="1:14" ht="17.25" x14ac:dyDescent="0.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</row>
    <row r="672" spans="1:14" ht="17.25" x14ac:dyDescent="0.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</row>
    <row r="673" spans="1:14" ht="17.25" x14ac:dyDescent="0.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</row>
    <row r="674" spans="1:14" ht="17.25" x14ac:dyDescent="0.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</row>
    <row r="675" spans="1:14" ht="17.25" x14ac:dyDescent="0.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</row>
    <row r="676" spans="1:14" ht="17.25" x14ac:dyDescent="0.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</row>
    <row r="677" spans="1:14" ht="17.25" x14ac:dyDescent="0.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</row>
    <row r="678" spans="1:14" ht="17.25" x14ac:dyDescent="0.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</row>
    <row r="679" spans="1:14" ht="17.25" x14ac:dyDescent="0.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</row>
    <row r="680" spans="1:14" ht="17.25" x14ac:dyDescent="0.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</row>
    <row r="681" spans="1:14" ht="17.25" x14ac:dyDescent="0.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</row>
    <row r="682" spans="1:14" ht="17.25" x14ac:dyDescent="0.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</row>
    <row r="683" spans="1:14" ht="17.25" x14ac:dyDescent="0.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</row>
    <row r="684" spans="1:14" ht="17.25" x14ac:dyDescent="0.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</row>
    <row r="685" spans="1:14" ht="17.25" x14ac:dyDescent="0.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</row>
    <row r="686" spans="1:14" ht="17.25" x14ac:dyDescent="0.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</row>
    <row r="687" spans="1:14" ht="17.25" x14ac:dyDescent="0.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</row>
    <row r="688" spans="1:14" ht="17.25" x14ac:dyDescent="0.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</row>
    <row r="689" spans="1:14" ht="17.25" x14ac:dyDescent="0.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</row>
    <row r="690" spans="1:14" ht="17.25" x14ac:dyDescent="0.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</row>
    <row r="691" spans="1:14" ht="17.25" x14ac:dyDescent="0.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</row>
    <row r="692" spans="1:14" ht="17.25" x14ac:dyDescent="0.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</row>
    <row r="693" spans="1:14" ht="17.25" x14ac:dyDescent="0.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</row>
    <row r="694" spans="1:14" ht="17.25" x14ac:dyDescent="0.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</row>
    <row r="695" spans="1:14" ht="17.25" x14ac:dyDescent="0.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</row>
    <row r="696" spans="1:14" ht="17.25" x14ac:dyDescent="0.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</row>
    <row r="697" spans="1:14" ht="17.25" x14ac:dyDescent="0.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</row>
    <row r="698" spans="1:14" ht="17.25" x14ac:dyDescent="0.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</row>
    <row r="699" spans="1:14" ht="17.25" x14ac:dyDescent="0.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</row>
    <row r="700" spans="1:14" ht="17.25" x14ac:dyDescent="0.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</row>
    <row r="701" spans="1:14" ht="17.25" x14ac:dyDescent="0.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</row>
    <row r="702" spans="1:14" ht="17.25" x14ac:dyDescent="0.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</row>
    <row r="703" spans="1:14" ht="17.25" x14ac:dyDescent="0.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</row>
    <row r="704" spans="1:14" ht="17.25" x14ac:dyDescent="0.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</row>
    <row r="705" spans="1:14" ht="17.25" x14ac:dyDescent="0.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</row>
    <row r="706" spans="1:14" ht="17.25" x14ac:dyDescent="0.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</row>
    <row r="707" spans="1:14" ht="17.25" x14ac:dyDescent="0.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</row>
    <row r="708" spans="1:14" ht="17.25" x14ac:dyDescent="0.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</row>
    <row r="709" spans="1:14" ht="17.25" x14ac:dyDescent="0.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</row>
    <row r="710" spans="1:14" ht="17.25" x14ac:dyDescent="0.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</row>
    <row r="711" spans="1:14" ht="17.25" x14ac:dyDescent="0.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</row>
    <row r="712" spans="1:14" ht="17.25" x14ac:dyDescent="0.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</row>
    <row r="713" spans="1:14" ht="17.25" x14ac:dyDescent="0.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</row>
    <row r="714" spans="1:14" ht="17.25" x14ac:dyDescent="0.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</row>
    <row r="715" spans="1:14" ht="17.25" x14ac:dyDescent="0.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</row>
    <row r="716" spans="1:14" ht="17.25" x14ac:dyDescent="0.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</row>
    <row r="717" spans="1:14" ht="17.25" x14ac:dyDescent="0.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</row>
    <row r="718" spans="1:14" ht="17.25" x14ac:dyDescent="0.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</row>
    <row r="719" spans="1:14" ht="17.25" x14ac:dyDescent="0.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</row>
    <row r="720" spans="1:14" ht="17.25" x14ac:dyDescent="0.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</row>
    <row r="721" spans="1:14" ht="17.25" x14ac:dyDescent="0.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</row>
    <row r="722" spans="1:14" ht="17.25" x14ac:dyDescent="0.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</row>
    <row r="723" spans="1:14" ht="17.25" x14ac:dyDescent="0.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</row>
    <row r="724" spans="1:14" ht="17.25" x14ac:dyDescent="0.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</row>
    <row r="725" spans="1:14" ht="17.25" x14ac:dyDescent="0.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</row>
    <row r="726" spans="1:14" ht="17.25" x14ac:dyDescent="0.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</row>
    <row r="727" spans="1:14" ht="17.25" x14ac:dyDescent="0.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</row>
    <row r="728" spans="1:14" ht="17.25" x14ac:dyDescent="0.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</row>
    <row r="729" spans="1:14" ht="17.25" x14ac:dyDescent="0.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</row>
    <row r="730" spans="1:14" ht="17.25" x14ac:dyDescent="0.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</row>
    <row r="731" spans="1:14" ht="17.25" x14ac:dyDescent="0.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</row>
    <row r="732" spans="1:14" ht="17.25" x14ac:dyDescent="0.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</row>
    <row r="733" spans="1:14" ht="17.25" x14ac:dyDescent="0.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</row>
    <row r="734" spans="1:14" ht="17.25" x14ac:dyDescent="0.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</row>
    <row r="735" spans="1:14" ht="17.25" x14ac:dyDescent="0.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</row>
    <row r="736" spans="1:14" ht="17.25" x14ac:dyDescent="0.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</row>
    <row r="737" spans="1:14" ht="17.25" x14ac:dyDescent="0.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</row>
    <row r="738" spans="1:14" ht="17.25" x14ac:dyDescent="0.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</row>
    <row r="739" spans="1:14" ht="17.25" x14ac:dyDescent="0.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</row>
    <row r="740" spans="1:14" ht="17.25" x14ac:dyDescent="0.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</row>
    <row r="741" spans="1:14" ht="17.25" x14ac:dyDescent="0.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</row>
    <row r="742" spans="1:14" ht="17.25" x14ac:dyDescent="0.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</row>
    <row r="743" spans="1:14" ht="17.25" x14ac:dyDescent="0.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</row>
    <row r="744" spans="1:14" ht="17.25" x14ac:dyDescent="0.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</row>
    <row r="745" spans="1:14" ht="17.25" x14ac:dyDescent="0.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</row>
    <row r="746" spans="1:14" ht="17.25" x14ac:dyDescent="0.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</row>
    <row r="747" spans="1:14" ht="17.25" x14ac:dyDescent="0.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</row>
    <row r="748" spans="1:14" ht="17.25" x14ac:dyDescent="0.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</row>
    <row r="749" spans="1:14" ht="17.25" x14ac:dyDescent="0.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</row>
    <row r="750" spans="1:14" ht="17.25" x14ac:dyDescent="0.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</row>
    <row r="751" spans="1:14" ht="17.25" x14ac:dyDescent="0.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</row>
    <row r="752" spans="1:14" ht="17.25" x14ac:dyDescent="0.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</row>
    <row r="753" spans="1:14" ht="17.25" x14ac:dyDescent="0.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</row>
    <row r="754" spans="1:14" ht="17.25" x14ac:dyDescent="0.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</row>
    <row r="755" spans="1:14" ht="17.25" x14ac:dyDescent="0.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</row>
    <row r="756" spans="1:14" ht="17.25" x14ac:dyDescent="0.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</row>
    <row r="757" spans="1:14" ht="17.25" x14ac:dyDescent="0.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</row>
    <row r="758" spans="1:14" ht="17.25" x14ac:dyDescent="0.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</row>
    <row r="759" spans="1:14" ht="17.25" x14ac:dyDescent="0.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</row>
    <row r="760" spans="1:14" ht="17.25" x14ac:dyDescent="0.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</row>
    <row r="761" spans="1:14" ht="17.25" x14ac:dyDescent="0.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</row>
    <row r="762" spans="1:14" ht="17.25" x14ac:dyDescent="0.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</row>
    <row r="763" spans="1:14" ht="17.25" x14ac:dyDescent="0.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</row>
    <row r="764" spans="1:14" ht="17.25" x14ac:dyDescent="0.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</row>
    <row r="765" spans="1:14" ht="17.25" x14ac:dyDescent="0.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</row>
    <row r="766" spans="1:14" ht="17.25" x14ac:dyDescent="0.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</row>
    <row r="767" spans="1:14" ht="17.25" x14ac:dyDescent="0.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</row>
    <row r="768" spans="1:14" ht="17.25" x14ac:dyDescent="0.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</row>
    <row r="769" spans="1:14" ht="17.25" x14ac:dyDescent="0.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</row>
    <row r="770" spans="1:14" ht="17.25" x14ac:dyDescent="0.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</row>
    <row r="771" spans="1:14" ht="17.25" x14ac:dyDescent="0.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</row>
    <row r="772" spans="1:14" ht="17.25" x14ac:dyDescent="0.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</row>
    <row r="773" spans="1:14" ht="17.25" x14ac:dyDescent="0.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</row>
    <row r="774" spans="1:14" ht="17.25" x14ac:dyDescent="0.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</row>
    <row r="775" spans="1:14" ht="17.25" x14ac:dyDescent="0.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</row>
    <row r="776" spans="1:14" ht="17.25" x14ac:dyDescent="0.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</row>
    <row r="777" spans="1:14" ht="17.25" x14ac:dyDescent="0.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</row>
    <row r="778" spans="1:14" ht="17.25" x14ac:dyDescent="0.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</row>
    <row r="779" spans="1:14" ht="17.25" x14ac:dyDescent="0.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</row>
    <row r="780" spans="1:14" ht="17.25" x14ac:dyDescent="0.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</row>
    <row r="781" spans="1:14" ht="17.25" x14ac:dyDescent="0.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</row>
    <row r="782" spans="1:14" ht="17.25" x14ac:dyDescent="0.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</row>
    <row r="783" spans="1:14" ht="17.25" x14ac:dyDescent="0.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</row>
    <row r="784" spans="1:14" ht="17.25" x14ac:dyDescent="0.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</row>
    <row r="785" spans="1:14" ht="17.25" x14ac:dyDescent="0.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</row>
    <row r="786" spans="1:14" ht="17.25" x14ac:dyDescent="0.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</row>
    <row r="787" spans="1:14" ht="17.25" x14ac:dyDescent="0.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</row>
    <row r="788" spans="1:14" ht="17.25" x14ac:dyDescent="0.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</row>
    <row r="789" spans="1:14" ht="17.25" x14ac:dyDescent="0.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</row>
    <row r="790" spans="1:14" ht="17.25" x14ac:dyDescent="0.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</row>
    <row r="791" spans="1:14" ht="17.25" x14ac:dyDescent="0.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</row>
    <row r="792" spans="1:14" ht="17.25" x14ac:dyDescent="0.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</row>
    <row r="793" spans="1:14" ht="17.25" x14ac:dyDescent="0.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</row>
    <row r="794" spans="1:14" ht="17.25" x14ac:dyDescent="0.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</row>
    <row r="795" spans="1:14" ht="17.25" x14ac:dyDescent="0.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</row>
    <row r="796" spans="1:14" ht="17.25" x14ac:dyDescent="0.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</row>
    <row r="797" spans="1:14" ht="17.25" x14ac:dyDescent="0.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</row>
    <row r="798" spans="1:14" ht="17.25" x14ac:dyDescent="0.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</row>
    <row r="799" spans="1:14" ht="17.25" x14ac:dyDescent="0.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</row>
    <row r="800" spans="1:14" ht="17.25" x14ac:dyDescent="0.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</row>
    <row r="801" spans="1:14" ht="17.25" x14ac:dyDescent="0.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</row>
    <row r="802" spans="1:14" ht="17.25" x14ac:dyDescent="0.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</row>
    <row r="803" spans="1:14" ht="17.25" x14ac:dyDescent="0.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</row>
    <row r="804" spans="1:14" ht="17.25" x14ac:dyDescent="0.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</row>
    <row r="805" spans="1:14" ht="17.25" x14ac:dyDescent="0.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</row>
    <row r="806" spans="1:14" ht="17.25" x14ac:dyDescent="0.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</row>
    <row r="807" spans="1:14" ht="17.25" x14ac:dyDescent="0.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</row>
    <row r="808" spans="1:14" ht="17.25" x14ac:dyDescent="0.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</row>
    <row r="809" spans="1:14" ht="17.25" x14ac:dyDescent="0.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</row>
    <row r="810" spans="1:14" ht="17.25" x14ac:dyDescent="0.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</row>
    <row r="811" spans="1:14" ht="17.25" x14ac:dyDescent="0.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</row>
    <row r="812" spans="1:14" ht="17.25" x14ac:dyDescent="0.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</row>
    <row r="813" spans="1:14" ht="17.25" x14ac:dyDescent="0.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</row>
    <row r="814" spans="1:14" ht="17.25" x14ac:dyDescent="0.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</row>
    <row r="815" spans="1:14" ht="17.25" x14ac:dyDescent="0.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</row>
    <row r="816" spans="1:14" ht="17.25" x14ac:dyDescent="0.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</row>
    <row r="817" spans="1:14" ht="17.25" x14ac:dyDescent="0.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</row>
    <row r="818" spans="1:14" ht="17.25" x14ac:dyDescent="0.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</row>
    <row r="819" spans="1:14" ht="17.25" x14ac:dyDescent="0.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</row>
    <row r="820" spans="1:14" ht="17.25" x14ac:dyDescent="0.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</row>
    <row r="821" spans="1:14" ht="17.25" x14ac:dyDescent="0.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</row>
    <row r="822" spans="1:14" ht="17.25" x14ac:dyDescent="0.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</row>
    <row r="823" spans="1:14" ht="17.25" x14ac:dyDescent="0.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</row>
    <row r="824" spans="1:14" ht="17.25" x14ac:dyDescent="0.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</row>
    <row r="825" spans="1:14" ht="17.25" x14ac:dyDescent="0.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</row>
    <row r="826" spans="1:14" ht="17.25" x14ac:dyDescent="0.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</row>
    <row r="827" spans="1:14" ht="17.25" x14ac:dyDescent="0.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</row>
    <row r="828" spans="1:14" ht="17.25" x14ac:dyDescent="0.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</row>
    <row r="829" spans="1:14" ht="17.25" x14ac:dyDescent="0.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</row>
    <row r="830" spans="1:14" ht="17.25" x14ac:dyDescent="0.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</row>
    <row r="831" spans="1:14" ht="17.25" x14ac:dyDescent="0.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</row>
    <row r="832" spans="1:14" ht="17.25" x14ac:dyDescent="0.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</row>
    <row r="833" spans="1:14" ht="17.25" x14ac:dyDescent="0.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</row>
    <row r="834" spans="1:14" ht="17.25" x14ac:dyDescent="0.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</row>
    <row r="835" spans="1:14" ht="17.25" x14ac:dyDescent="0.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</row>
    <row r="836" spans="1:14" ht="17.25" x14ac:dyDescent="0.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</row>
    <row r="837" spans="1:14" ht="17.25" x14ac:dyDescent="0.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</row>
    <row r="838" spans="1:14" ht="17.25" x14ac:dyDescent="0.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</row>
    <row r="839" spans="1:14" ht="17.25" x14ac:dyDescent="0.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</row>
    <row r="840" spans="1:14" ht="17.25" x14ac:dyDescent="0.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</row>
    <row r="841" spans="1:14" ht="17.25" x14ac:dyDescent="0.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</row>
    <row r="842" spans="1:14" ht="17.25" x14ac:dyDescent="0.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</row>
    <row r="843" spans="1:14" ht="17.25" x14ac:dyDescent="0.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</row>
    <row r="844" spans="1:14" ht="17.25" x14ac:dyDescent="0.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</row>
    <row r="845" spans="1:14" ht="17.25" x14ac:dyDescent="0.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</row>
    <row r="846" spans="1:14" ht="17.25" x14ac:dyDescent="0.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</row>
    <row r="847" spans="1:14" ht="17.25" x14ac:dyDescent="0.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</row>
    <row r="848" spans="1:14" ht="17.25" x14ac:dyDescent="0.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</row>
    <row r="849" spans="1:14" ht="17.25" x14ac:dyDescent="0.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</row>
    <row r="850" spans="1:14" ht="17.25" x14ac:dyDescent="0.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</row>
    <row r="851" spans="1:14" ht="17.25" x14ac:dyDescent="0.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</row>
    <row r="852" spans="1:14" ht="17.25" x14ac:dyDescent="0.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</row>
    <row r="853" spans="1:14" ht="17.25" x14ac:dyDescent="0.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</row>
    <row r="854" spans="1:14" ht="17.25" x14ac:dyDescent="0.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</row>
    <row r="855" spans="1:14" ht="17.25" x14ac:dyDescent="0.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</row>
    <row r="856" spans="1:14" ht="17.25" x14ac:dyDescent="0.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</row>
    <row r="857" spans="1:14" ht="17.25" x14ac:dyDescent="0.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</row>
    <row r="858" spans="1:14" ht="17.25" x14ac:dyDescent="0.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</row>
    <row r="859" spans="1:14" ht="17.25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</row>
    <row r="860" spans="1:14" ht="17.25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</row>
    <row r="861" spans="1:14" ht="17.25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</row>
    <row r="862" spans="1:14" ht="17.25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</row>
    <row r="863" spans="1:14" ht="17.25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</row>
    <row r="864" spans="1:14" ht="17.25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</row>
    <row r="865" spans="1:14" ht="17.25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</row>
    <row r="866" spans="1:14" ht="17.25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</row>
    <row r="867" spans="1:14" ht="17.25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</row>
    <row r="868" spans="1:14" ht="17.25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</row>
    <row r="869" spans="1:14" ht="17.25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</row>
    <row r="870" spans="1:14" ht="17.25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</row>
    <row r="871" spans="1:14" ht="17.25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</row>
    <row r="872" spans="1:14" ht="17.25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</row>
    <row r="873" spans="1:14" ht="17.25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</row>
    <row r="874" spans="1:14" ht="17.25" x14ac:dyDescent="0.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</row>
    <row r="875" spans="1:14" ht="17.25" x14ac:dyDescent="0.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</row>
    <row r="876" spans="1:14" ht="17.25" x14ac:dyDescent="0.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</row>
    <row r="877" spans="1:14" ht="17.25" x14ac:dyDescent="0.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</row>
    <row r="878" spans="1:14" ht="17.25" x14ac:dyDescent="0.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</row>
    <row r="879" spans="1:14" ht="17.25" x14ac:dyDescent="0.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</row>
    <row r="880" spans="1:14" ht="17.25" x14ac:dyDescent="0.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</row>
    <row r="881" spans="1:14" ht="17.25" x14ac:dyDescent="0.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</row>
    <row r="882" spans="1:14" ht="17.25" x14ac:dyDescent="0.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</row>
    <row r="883" spans="1:14" ht="17.25" x14ac:dyDescent="0.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</row>
    <row r="884" spans="1:14" ht="17.25" x14ac:dyDescent="0.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</row>
    <row r="885" spans="1:14" ht="17.25" x14ac:dyDescent="0.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</row>
    <row r="886" spans="1:14" ht="17.25" x14ac:dyDescent="0.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</row>
    <row r="887" spans="1:14" ht="17.25" x14ac:dyDescent="0.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</row>
    <row r="888" spans="1:14" ht="17.25" x14ac:dyDescent="0.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</row>
    <row r="889" spans="1:14" ht="17.25" x14ac:dyDescent="0.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</row>
    <row r="890" spans="1:14" ht="17.25" x14ac:dyDescent="0.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</row>
    <row r="891" spans="1:14" ht="17.25" x14ac:dyDescent="0.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</row>
    <row r="892" spans="1:14" ht="17.25" x14ac:dyDescent="0.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</row>
    <row r="893" spans="1:14" ht="17.25" x14ac:dyDescent="0.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</row>
    <row r="894" spans="1:14" ht="17.25" x14ac:dyDescent="0.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</row>
    <row r="895" spans="1:14" ht="17.25" x14ac:dyDescent="0.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</row>
    <row r="896" spans="1:14" ht="17.25" x14ac:dyDescent="0.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</row>
    <row r="897" spans="1:14" ht="17.25" x14ac:dyDescent="0.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</row>
    <row r="898" spans="1:14" ht="17.25" x14ac:dyDescent="0.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</row>
    <row r="899" spans="1:14" ht="17.25" x14ac:dyDescent="0.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</row>
    <row r="900" spans="1:14" ht="17.25" x14ac:dyDescent="0.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</row>
    <row r="901" spans="1:14" ht="17.25" x14ac:dyDescent="0.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</row>
    <row r="902" spans="1:14" ht="17.25" x14ac:dyDescent="0.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</row>
    <row r="903" spans="1:14" ht="17.25" x14ac:dyDescent="0.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</row>
    <row r="904" spans="1:14" ht="17.25" x14ac:dyDescent="0.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</row>
    <row r="905" spans="1:14" ht="17.25" x14ac:dyDescent="0.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</row>
    <row r="906" spans="1:14" ht="17.25" x14ac:dyDescent="0.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</row>
    <row r="907" spans="1:14" ht="17.25" x14ac:dyDescent="0.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</row>
    <row r="908" spans="1:14" ht="17.25" x14ac:dyDescent="0.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</row>
    <row r="909" spans="1:14" ht="17.25" x14ac:dyDescent="0.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</row>
    <row r="910" spans="1:14" ht="17.25" x14ac:dyDescent="0.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</row>
    <row r="911" spans="1:14" ht="17.25" x14ac:dyDescent="0.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</row>
    <row r="912" spans="1:14" ht="17.25" x14ac:dyDescent="0.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</row>
    <row r="913" spans="1:14" ht="17.25" x14ac:dyDescent="0.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</row>
    <row r="914" spans="1:14" ht="17.25" x14ac:dyDescent="0.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</row>
    <row r="915" spans="1:14" ht="17.25" x14ac:dyDescent="0.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</row>
    <row r="916" spans="1:14" ht="17.25" x14ac:dyDescent="0.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</row>
    <row r="917" spans="1:14" ht="17.25" x14ac:dyDescent="0.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</row>
    <row r="918" spans="1:14" ht="17.25" x14ac:dyDescent="0.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</row>
    <row r="919" spans="1:14" ht="17.25" x14ac:dyDescent="0.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</row>
    <row r="920" spans="1:14" ht="17.25" x14ac:dyDescent="0.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</row>
    <row r="921" spans="1:14" ht="17.25" x14ac:dyDescent="0.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</row>
    <row r="922" spans="1:14" ht="17.25" x14ac:dyDescent="0.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</row>
    <row r="923" spans="1:14" ht="17.25" x14ac:dyDescent="0.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</row>
    <row r="924" spans="1:14" ht="17.25" x14ac:dyDescent="0.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</row>
    <row r="925" spans="1:14" ht="17.25" x14ac:dyDescent="0.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</row>
    <row r="926" spans="1:14" ht="17.25" x14ac:dyDescent="0.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</row>
    <row r="927" spans="1:14" ht="17.25" x14ac:dyDescent="0.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</row>
    <row r="928" spans="1:14" ht="17.25" x14ac:dyDescent="0.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</row>
    <row r="929" spans="1:14" ht="17.25" x14ac:dyDescent="0.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</row>
    <row r="930" spans="1:14" ht="17.25" x14ac:dyDescent="0.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</row>
    <row r="931" spans="1:14" ht="17.25" x14ac:dyDescent="0.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</row>
    <row r="932" spans="1:14" ht="17.25" x14ac:dyDescent="0.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</row>
    <row r="933" spans="1:14" ht="17.25" x14ac:dyDescent="0.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</row>
    <row r="934" spans="1:14" ht="17.25" x14ac:dyDescent="0.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</row>
    <row r="935" spans="1:14" ht="17.25" x14ac:dyDescent="0.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</row>
    <row r="936" spans="1:14" ht="17.25" x14ac:dyDescent="0.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</row>
    <row r="937" spans="1:14" ht="17.25" x14ac:dyDescent="0.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</row>
    <row r="938" spans="1:14" ht="17.25" x14ac:dyDescent="0.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</row>
    <row r="939" spans="1:14" ht="17.25" x14ac:dyDescent="0.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</row>
    <row r="940" spans="1:14" ht="17.25" x14ac:dyDescent="0.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</row>
    <row r="941" spans="1:14" ht="17.25" x14ac:dyDescent="0.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</row>
    <row r="942" spans="1:14" ht="17.25" x14ac:dyDescent="0.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</row>
    <row r="943" spans="1:14" ht="17.25" x14ac:dyDescent="0.15">
      <c r="A943" s="19"/>
      <c r="B943" s="19"/>
    </row>
    <row r="944" spans="1:14" ht="17.25" x14ac:dyDescent="0.15">
      <c r="A944" s="19"/>
      <c r="B944" s="19"/>
    </row>
  </sheetData>
  <mergeCells count="2">
    <mergeCell ref="A2:B2"/>
    <mergeCell ref="A5:B5"/>
  </mergeCells>
  <conditionalFormatting sqref="C5:N5">
    <cfRule type="notContainsBlanks" dxfId="0" priority="1">
      <formula>LEN(TRIM(C5))&gt;0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2384D"/>
    <outlinePr summaryBelow="0" summaryRight="0"/>
  </sheetPr>
  <dimension ref="A1:B943"/>
  <sheetViews>
    <sheetView workbookViewId="0"/>
  </sheetViews>
  <sheetFormatPr defaultColWidth="12.5390625" defaultRowHeight="15.75" customHeight="1" x14ac:dyDescent="0.15"/>
  <cols>
    <col min="1" max="1" width="33.44140625" customWidth="1"/>
    <col min="2" max="2" width="18.7421875" customWidth="1"/>
  </cols>
  <sheetData>
    <row r="1" spans="1:2" ht="42.75" customHeight="1" x14ac:dyDescent="0.15">
      <c r="A1" s="19"/>
      <c r="B1" s="19"/>
    </row>
    <row r="2" spans="1:2" ht="18" customHeight="1" x14ac:dyDescent="0.15">
      <c r="A2" s="161" t="s">
        <v>54</v>
      </c>
      <c r="B2" s="162"/>
    </row>
    <row r="3" spans="1:2" ht="13.5" customHeight="1" x14ac:dyDescent="0.15">
      <c r="A3" s="19"/>
      <c r="B3" s="19"/>
    </row>
    <row r="4" spans="1:2" ht="13.5" customHeight="1" x14ac:dyDescent="0.15">
      <c r="A4" s="19"/>
      <c r="B4" s="19"/>
    </row>
    <row r="5" spans="1:2" ht="30" customHeight="1" x14ac:dyDescent="0.15">
      <c r="A5" s="165" t="s">
        <v>164</v>
      </c>
      <c r="B5" s="164"/>
    </row>
    <row r="6" spans="1:2" ht="21" x14ac:dyDescent="0.4">
      <c r="A6" s="56" t="s">
        <v>165</v>
      </c>
      <c r="B6" s="57"/>
    </row>
    <row r="7" spans="1:2" ht="17.25" x14ac:dyDescent="0.3">
      <c r="A7" s="116" t="s">
        <v>166</v>
      </c>
      <c r="B7" s="120">
        <f>IRR(B13:B15,30)</f>
        <v>0.79961340271783166</v>
      </c>
    </row>
    <row r="8" spans="1:2" ht="30.75" x14ac:dyDescent="0.3">
      <c r="A8" s="116" t="s">
        <v>167</v>
      </c>
      <c r="B8" s="77">
        <f>SUM(B13:B15)</f>
        <v>378908010.33087933</v>
      </c>
    </row>
    <row r="9" spans="1:2" ht="17.25" x14ac:dyDescent="0.3">
      <c r="A9" s="116" t="s">
        <v>168</v>
      </c>
      <c r="B9" s="135">
        <f>B8/B12</f>
        <v>1.8945400516543967</v>
      </c>
    </row>
    <row r="10" spans="1:2" ht="17.25" x14ac:dyDescent="0.3">
      <c r="A10" s="116" t="s">
        <v>169</v>
      </c>
      <c r="B10" s="135">
        <v>9</v>
      </c>
    </row>
    <row r="11" spans="1:2" ht="17.25" x14ac:dyDescent="0.15">
      <c r="A11" s="136"/>
      <c r="B11" s="136"/>
    </row>
    <row r="12" spans="1:2" ht="17.25" x14ac:dyDescent="0.15">
      <c r="A12" s="136"/>
      <c r="B12" s="137">
        <f>'ФИН ЗАЕМ'!B5</f>
        <v>200000000</v>
      </c>
    </row>
    <row r="13" spans="1:2" ht="17.25" x14ac:dyDescent="0.15">
      <c r="A13" s="136"/>
      <c r="B13" s="137">
        <f>-B12</f>
        <v>-200000000</v>
      </c>
    </row>
    <row r="14" spans="1:2" ht="17.25" x14ac:dyDescent="0.3">
      <c r="A14" s="138" t="s">
        <v>170</v>
      </c>
      <c r="B14" s="137">
        <f>'P&amp;L'!C48-'CASH FLOW'!C42-'CASH FLOW'!C43</f>
        <v>86058674.458879888</v>
      </c>
    </row>
    <row r="15" spans="1:2" ht="17.25" x14ac:dyDescent="0.3">
      <c r="A15" s="138" t="s">
        <v>171</v>
      </c>
      <c r="B15" s="137">
        <f>'P&amp;L'!P48-'CASH FLOW'!P43</f>
        <v>492849335.87199944</v>
      </c>
    </row>
    <row r="16" spans="1:2" ht="17.25" x14ac:dyDescent="0.15">
      <c r="A16" s="136"/>
      <c r="B16" s="136"/>
    </row>
    <row r="17" spans="1:2" ht="17.25" x14ac:dyDescent="0.15">
      <c r="A17" s="136"/>
      <c r="B17" s="136"/>
    </row>
    <row r="18" spans="1:2" ht="17.25" x14ac:dyDescent="0.15">
      <c r="A18" s="136"/>
      <c r="B18" s="136"/>
    </row>
    <row r="19" spans="1:2" ht="17.25" x14ac:dyDescent="0.15">
      <c r="A19" s="19"/>
      <c r="B19" s="19"/>
    </row>
    <row r="20" spans="1:2" ht="17.25" x14ac:dyDescent="0.15">
      <c r="A20" s="19"/>
      <c r="B20" s="19"/>
    </row>
    <row r="21" spans="1:2" ht="17.25" x14ac:dyDescent="0.15">
      <c r="A21" s="19"/>
      <c r="B21" s="19"/>
    </row>
    <row r="22" spans="1:2" ht="17.25" x14ac:dyDescent="0.15">
      <c r="A22" s="19"/>
      <c r="B22" s="19"/>
    </row>
    <row r="23" spans="1:2" ht="17.25" x14ac:dyDescent="0.15">
      <c r="A23" s="19"/>
      <c r="B23" s="19"/>
    </row>
    <row r="24" spans="1:2" ht="17.25" x14ac:dyDescent="0.15">
      <c r="A24" s="19"/>
      <c r="B24" s="19"/>
    </row>
    <row r="25" spans="1:2" ht="17.25" x14ac:dyDescent="0.15">
      <c r="A25" s="19"/>
      <c r="B25" s="19"/>
    </row>
    <row r="26" spans="1:2" ht="17.25" x14ac:dyDescent="0.15">
      <c r="A26" s="19"/>
      <c r="B26" s="19"/>
    </row>
    <row r="27" spans="1:2" ht="17.25" x14ac:dyDescent="0.15">
      <c r="A27" s="19"/>
      <c r="B27" s="19"/>
    </row>
    <row r="28" spans="1:2" ht="17.25" x14ac:dyDescent="0.15">
      <c r="A28" s="19"/>
      <c r="B28" s="19"/>
    </row>
    <row r="29" spans="1:2" ht="17.25" x14ac:dyDescent="0.15">
      <c r="A29" s="19"/>
      <c r="B29" s="19"/>
    </row>
    <row r="30" spans="1:2" ht="17.25" x14ac:dyDescent="0.15">
      <c r="A30" s="19"/>
      <c r="B30" s="19"/>
    </row>
    <row r="31" spans="1:2" ht="17.25" x14ac:dyDescent="0.15">
      <c r="A31" s="19"/>
      <c r="B31" s="19"/>
    </row>
    <row r="32" spans="1:2" ht="17.25" x14ac:dyDescent="0.15">
      <c r="A32" s="19"/>
      <c r="B32" s="19"/>
    </row>
    <row r="33" spans="1:2" ht="17.25" x14ac:dyDescent="0.15">
      <c r="A33" s="19"/>
      <c r="B33" s="19"/>
    </row>
    <row r="34" spans="1:2" ht="17.25" x14ac:dyDescent="0.15">
      <c r="A34" s="19"/>
      <c r="B34" s="19"/>
    </row>
    <row r="35" spans="1:2" ht="17.25" x14ac:dyDescent="0.15">
      <c r="A35" s="19"/>
      <c r="B35" s="19"/>
    </row>
    <row r="36" spans="1:2" ht="17.25" x14ac:dyDescent="0.15">
      <c r="A36" s="19"/>
      <c r="B36" s="19"/>
    </row>
    <row r="37" spans="1:2" ht="17.25" x14ac:dyDescent="0.15">
      <c r="A37" s="19"/>
      <c r="B37" s="19"/>
    </row>
    <row r="38" spans="1:2" ht="17.25" x14ac:dyDescent="0.15">
      <c r="A38" s="19"/>
      <c r="B38" s="19"/>
    </row>
    <row r="39" spans="1:2" ht="17.25" x14ac:dyDescent="0.15">
      <c r="A39" s="19"/>
      <c r="B39" s="19"/>
    </row>
    <row r="40" spans="1:2" ht="17.25" x14ac:dyDescent="0.15">
      <c r="A40" s="19"/>
      <c r="B40" s="19"/>
    </row>
    <row r="41" spans="1:2" ht="17.25" x14ac:dyDescent="0.15">
      <c r="A41" s="19"/>
      <c r="B41" s="19"/>
    </row>
    <row r="42" spans="1:2" ht="17.25" x14ac:dyDescent="0.15">
      <c r="A42" s="19"/>
      <c r="B42" s="19"/>
    </row>
    <row r="43" spans="1:2" ht="17.25" x14ac:dyDescent="0.15">
      <c r="A43" s="19"/>
      <c r="B43" s="19"/>
    </row>
    <row r="44" spans="1:2" ht="17.25" x14ac:dyDescent="0.15">
      <c r="A44" s="19"/>
      <c r="B44" s="19"/>
    </row>
    <row r="45" spans="1:2" ht="17.25" x14ac:dyDescent="0.15">
      <c r="A45" s="19"/>
      <c r="B45" s="19"/>
    </row>
    <row r="46" spans="1:2" ht="17.25" x14ac:dyDescent="0.15">
      <c r="A46" s="19"/>
      <c r="B46" s="19"/>
    </row>
    <row r="47" spans="1:2" ht="17.25" x14ac:dyDescent="0.15">
      <c r="A47" s="19"/>
      <c r="B47" s="19"/>
    </row>
    <row r="48" spans="1:2" ht="17.25" x14ac:dyDescent="0.15">
      <c r="A48" s="19"/>
      <c r="B48" s="19"/>
    </row>
    <row r="49" spans="1:2" ht="17.25" x14ac:dyDescent="0.15">
      <c r="A49" s="19"/>
      <c r="B49" s="19"/>
    </row>
    <row r="50" spans="1:2" ht="17.25" x14ac:dyDescent="0.15">
      <c r="A50" s="19"/>
      <c r="B50" s="19"/>
    </row>
    <row r="51" spans="1:2" ht="17.25" x14ac:dyDescent="0.15">
      <c r="A51" s="19"/>
      <c r="B51" s="19"/>
    </row>
    <row r="52" spans="1:2" ht="17.25" x14ac:dyDescent="0.15">
      <c r="A52" s="19"/>
      <c r="B52" s="19"/>
    </row>
    <row r="53" spans="1:2" ht="17.25" x14ac:dyDescent="0.15">
      <c r="A53" s="19"/>
      <c r="B53" s="19"/>
    </row>
    <row r="54" spans="1:2" ht="17.25" x14ac:dyDescent="0.15">
      <c r="A54" s="19"/>
      <c r="B54" s="19"/>
    </row>
    <row r="55" spans="1:2" ht="17.25" x14ac:dyDescent="0.15">
      <c r="A55" s="19"/>
      <c r="B55" s="19"/>
    </row>
    <row r="56" spans="1:2" ht="17.25" x14ac:dyDescent="0.15">
      <c r="A56" s="19"/>
      <c r="B56" s="19"/>
    </row>
    <row r="57" spans="1:2" ht="17.25" x14ac:dyDescent="0.15">
      <c r="A57" s="19"/>
      <c r="B57" s="19"/>
    </row>
    <row r="58" spans="1:2" ht="17.25" x14ac:dyDescent="0.15">
      <c r="A58" s="19"/>
      <c r="B58" s="19"/>
    </row>
    <row r="59" spans="1:2" ht="17.25" x14ac:dyDescent="0.15">
      <c r="A59" s="19"/>
      <c r="B59" s="19"/>
    </row>
    <row r="60" spans="1:2" ht="17.25" x14ac:dyDescent="0.15">
      <c r="A60" s="19"/>
      <c r="B60" s="19"/>
    </row>
    <row r="61" spans="1:2" ht="17.25" x14ac:dyDescent="0.15">
      <c r="A61" s="19"/>
      <c r="B61" s="19"/>
    </row>
    <row r="62" spans="1:2" ht="17.25" x14ac:dyDescent="0.15">
      <c r="A62" s="19"/>
      <c r="B62" s="19"/>
    </row>
    <row r="63" spans="1:2" ht="17.25" x14ac:dyDescent="0.15">
      <c r="A63" s="19"/>
      <c r="B63" s="19"/>
    </row>
    <row r="64" spans="1:2" ht="17.25" x14ac:dyDescent="0.15">
      <c r="A64" s="19"/>
      <c r="B64" s="19"/>
    </row>
    <row r="65" spans="1:2" ht="17.25" x14ac:dyDescent="0.15">
      <c r="A65" s="19"/>
      <c r="B65" s="19"/>
    </row>
    <row r="66" spans="1:2" ht="17.25" x14ac:dyDescent="0.15">
      <c r="A66" s="19"/>
      <c r="B66" s="19"/>
    </row>
    <row r="67" spans="1:2" ht="17.25" x14ac:dyDescent="0.15">
      <c r="A67" s="19"/>
      <c r="B67" s="19"/>
    </row>
    <row r="68" spans="1:2" ht="17.25" x14ac:dyDescent="0.15">
      <c r="A68" s="19"/>
      <c r="B68" s="19"/>
    </row>
    <row r="69" spans="1:2" ht="17.25" x14ac:dyDescent="0.15">
      <c r="A69" s="19"/>
      <c r="B69" s="19"/>
    </row>
    <row r="70" spans="1:2" ht="17.25" x14ac:dyDescent="0.15">
      <c r="A70" s="19"/>
      <c r="B70" s="19"/>
    </row>
    <row r="71" spans="1:2" ht="17.25" x14ac:dyDescent="0.15">
      <c r="A71" s="19"/>
      <c r="B71" s="19"/>
    </row>
    <row r="72" spans="1:2" ht="17.25" x14ac:dyDescent="0.15">
      <c r="A72" s="19"/>
      <c r="B72" s="19"/>
    </row>
    <row r="73" spans="1:2" ht="17.25" x14ac:dyDescent="0.15">
      <c r="A73" s="19"/>
      <c r="B73" s="19"/>
    </row>
    <row r="74" spans="1:2" ht="17.25" x14ac:dyDescent="0.15">
      <c r="A74" s="19"/>
      <c r="B74" s="19"/>
    </row>
    <row r="75" spans="1:2" ht="17.25" x14ac:dyDescent="0.15">
      <c r="A75" s="19"/>
      <c r="B75" s="19"/>
    </row>
    <row r="76" spans="1:2" ht="17.25" x14ac:dyDescent="0.15">
      <c r="A76" s="19"/>
      <c r="B76" s="19"/>
    </row>
    <row r="77" spans="1:2" ht="17.25" x14ac:dyDescent="0.15">
      <c r="A77" s="19"/>
      <c r="B77" s="19"/>
    </row>
    <row r="78" spans="1:2" ht="17.25" x14ac:dyDescent="0.15">
      <c r="A78" s="19"/>
      <c r="B78" s="19"/>
    </row>
    <row r="79" spans="1:2" ht="17.25" x14ac:dyDescent="0.15">
      <c r="A79" s="19"/>
      <c r="B79" s="19"/>
    </row>
    <row r="80" spans="1:2" ht="17.25" x14ac:dyDescent="0.15">
      <c r="A80" s="19"/>
      <c r="B80" s="19"/>
    </row>
    <row r="81" spans="1:2" ht="17.25" x14ac:dyDescent="0.15">
      <c r="A81" s="19"/>
      <c r="B81" s="19"/>
    </row>
    <row r="82" spans="1:2" ht="17.25" x14ac:dyDescent="0.15">
      <c r="A82" s="19"/>
      <c r="B82" s="19"/>
    </row>
    <row r="83" spans="1:2" ht="17.25" x14ac:dyDescent="0.15">
      <c r="A83" s="19"/>
      <c r="B83" s="19"/>
    </row>
    <row r="84" spans="1:2" ht="17.25" x14ac:dyDescent="0.15">
      <c r="A84" s="19"/>
      <c r="B84" s="19"/>
    </row>
    <row r="85" spans="1:2" ht="17.25" x14ac:dyDescent="0.15">
      <c r="A85" s="19"/>
      <c r="B85" s="19"/>
    </row>
    <row r="86" spans="1:2" ht="17.25" x14ac:dyDescent="0.15">
      <c r="A86" s="19"/>
      <c r="B86" s="19"/>
    </row>
    <row r="87" spans="1:2" ht="17.25" x14ac:dyDescent="0.15">
      <c r="A87" s="19"/>
      <c r="B87" s="19"/>
    </row>
    <row r="88" spans="1:2" ht="17.25" x14ac:dyDescent="0.15">
      <c r="A88" s="19"/>
      <c r="B88" s="19"/>
    </row>
    <row r="89" spans="1:2" ht="17.25" x14ac:dyDescent="0.15">
      <c r="A89" s="19"/>
      <c r="B89" s="19"/>
    </row>
    <row r="90" spans="1:2" ht="17.25" x14ac:dyDescent="0.15">
      <c r="A90" s="19"/>
      <c r="B90" s="19"/>
    </row>
    <row r="91" spans="1:2" ht="17.25" x14ac:dyDescent="0.15">
      <c r="A91" s="19"/>
      <c r="B91" s="19"/>
    </row>
    <row r="92" spans="1:2" ht="17.25" x14ac:dyDescent="0.15">
      <c r="A92" s="19"/>
      <c r="B92" s="19"/>
    </row>
    <row r="93" spans="1:2" ht="17.25" x14ac:dyDescent="0.15">
      <c r="A93" s="19"/>
      <c r="B93" s="19"/>
    </row>
    <row r="94" spans="1:2" ht="17.25" x14ac:dyDescent="0.15">
      <c r="A94" s="19"/>
      <c r="B94" s="19"/>
    </row>
    <row r="95" spans="1:2" ht="17.25" x14ac:dyDescent="0.15">
      <c r="A95" s="19"/>
      <c r="B95" s="19"/>
    </row>
    <row r="96" spans="1:2" ht="17.25" x14ac:dyDescent="0.15">
      <c r="A96" s="19"/>
      <c r="B96" s="19"/>
    </row>
    <row r="97" spans="1:2" ht="17.25" x14ac:dyDescent="0.15">
      <c r="A97" s="19"/>
      <c r="B97" s="19"/>
    </row>
    <row r="98" spans="1:2" ht="17.25" x14ac:dyDescent="0.15">
      <c r="A98" s="19"/>
      <c r="B98" s="19"/>
    </row>
    <row r="99" spans="1:2" ht="17.25" x14ac:dyDescent="0.15">
      <c r="A99" s="19"/>
      <c r="B99" s="19"/>
    </row>
    <row r="100" spans="1:2" ht="17.25" x14ac:dyDescent="0.15">
      <c r="A100" s="19"/>
      <c r="B100" s="19"/>
    </row>
    <row r="101" spans="1:2" ht="17.25" x14ac:dyDescent="0.15">
      <c r="A101" s="19"/>
      <c r="B101" s="19"/>
    </row>
    <row r="102" spans="1:2" ht="17.25" x14ac:dyDescent="0.15">
      <c r="A102" s="19"/>
      <c r="B102" s="19"/>
    </row>
    <row r="103" spans="1:2" ht="17.25" x14ac:dyDescent="0.15">
      <c r="A103" s="19"/>
      <c r="B103" s="19"/>
    </row>
    <row r="104" spans="1:2" ht="17.25" x14ac:dyDescent="0.15">
      <c r="A104" s="19"/>
      <c r="B104" s="19"/>
    </row>
    <row r="105" spans="1:2" ht="17.25" x14ac:dyDescent="0.15">
      <c r="A105" s="19"/>
      <c r="B105" s="19"/>
    </row>
    <row r="106" spans="1:2" ht="17.25" x14ac:dyDescent="0.15">
      <c r="A106" s="19"/>
      <c r="B106" s="19"/>
    </row>
    <row r="107" spans="1:2" ht="17.25" x14ac:dyDescent="0.15">
      <c r="A107" s="19"/>
      <c r="B107" s="19"/>
    </row>
    <row r="108" spans="1:2" ht="17.25" x14ac:dyDescent="0.15">
      <c r="A108" s="19"/>
      <c r="B108" s="19"/>
    </row>
    <row r="109" spans="1:2" ht="17.25" x14ac:dyDescent="0.15">
      <c r="A109" s="19"/>
      <c r="B109" s="19"/>
    </row>
    <row r="110" spans="1:2" ht="17.25" x14ac:dyDescent="0.15">
      <c r="A110" s="19"/>
      <c r="B110" s="19"/>
    </row>
    <row r="111" spans="1:2" ht="17.25" x14ac:dyDescent="0.15">
      <c r="A111" s="19"/>
      <c r="B111" s="19"/>
    </row>
    <row r="112" spans="1:2" ht="17.25" x14ac:dyDescent="0.15">
      <c r="A112" s="19"/>
      <c r="B112" s="19"/>
    </row>
    <row r="113" spans="1:2" ht="17.25" x14ac:dyDescent="0.15">
      <c r="A113" s="19"/>
      <c r="B113" s="19"/>
    </row>
    <row r="114" spans="1:2" ht="17.25" x14ac:dyDescent="0.15">
      <c r="A114" s="19"/>
      <c r="B114" s="19"/>
    </row>
    <row r="115" spans="1:2" ht="17.25" x14ac:dyDescent="0.15">
      <c r="A115" s="19"/>
      <c r="B115" s="19"/>
    </row>
    <row r="116" spans="1:2" ht="17.25" x14ac:dyDescent="0.15">
      <c r="A116" s="19"/>
      <c r="B116" s="19"/>
    </row>
    <row r="117" spans="1:2" ht="17.25" x14ac:dyDescent="0.15">
      <c r="A117" s="19"/>
      <c r="B117" s="19"/>
    </row>
    <row r="118" spans="1:2" ht="17.25" x14ac:dyDescent="0.15">
      <c r="A118" s="19"/>
      <c r="B118" s="19"/>
    </row>
    <row r="119" spans="1:2" ht="17.25" x14ac:dyDescent="0.15">
      <c r="A119" s="19"/>
      <c r="B119" s="19"/>
    </row>
    <row r="120" spans="1:2" ht="17.25" x14ac:dyDescent="0.15">
      <c r="A120" s="19"/>
      <c r="B120" s="19"/>
    </row>
    <row r="121" spans="1:2" ht="17.25" x14ac:dyDescent="0.15">
      <c r="A121" s="19"/>
      <c r="B121" s="19"/>
    </row>
    <row r="122" spans="1:2" ht="17.25" x14ac:dyDescent="0.15">
      <c r="A122" s="19"/>
      <c r="B122" s="19"/>
    </row>
    <row r="123" spans="1:2" ht="17.25" x14ac:dyDescent="0.15">
      <c r="A123" s="19"/>
      <c r="B123" s="19"/>
    </row>
    <row r="124" spans="1:2" ht="17.25" x14ac:dyDescent="0.15">
      <c r="A124" s="19"/>
      <c r="B124" s="19"/>
    </row>
    <row r="125" spans="1:2" ht="17.25" x14ac:dyDescent="0.15">
      <c r="A125" s="19"/>
      <c r="B125" s="19"/>
    </row>
    <row r="126" spans="1:2" ht="17.25" x14ac:dyDescent="0.15">
      <c r="A126" s="19"/>
      <c r="B126" s="19"/>
    </row>
    <row r="127" spans="1:2" ht="17.25" x14ac:dyDescent="0.15">
      <c r="A127" s="19"/>
      <c r="B127" s="19"/>
    </row>
    <row r="128" spans="1:2" ht="17.25" x14ac:dyDescent="0.15">
      <c r="A128" s="19"/>
      <c r="B128" s="19"/>
    </row>
    <row r="129" spans="1:2" ht="17.25" x14ac:dyDescent="0.15">
      <c r="A129" s="19"/>
      <c r="B129" s="19"/>
    </row>
    <row r="130" spans="1:2" ht="17.25" x14ac:dyDescent="0.15">
      <c r="A130" s="19"/>
      <c r="B130" s="19"/>
    </row>
    <row r="131" spans="1:2" ht="17.25" x14ac:dyDescent="0.15">
      <c r="A131" s="19"/>
      <c r="B131" s="19"/>
    </row>
    <row r="132" spans="1:2" ht="17.25" x14ac:dyDescent="0.15">
      <c r="A132" s="19"/>
      <c r="B132" s="19"/>
    </row>
    <row r="133" spans="1:2" ht="17.25" x14ac:dyDescent="0.15">
      <c r="A133" s="19"/>
      <c r="B133" s="19"/>
    </row>
    <row r="134" spans="1:2" ht="17.25" x14ac:dyDescent="0.15">
      <c r="A134" s="19"/>
      <c r="B134" s="19"/>
    </row>
    <row r="135" spans="1:2" ht="17.25" x14ac:dyDescent="0.15">
      <c r="A135" s="19"/>
      <c r="B135" s="19"/>
    </row>
    <row r="136" spans="1:2" ht="17.25" x14ac:dyDescent="0.15">
      <c r="A136" s="19"/>
      <c r="B136" s="19"/>
    </row>
    <row r="137" spans="1:2" ht="17.25" x14ac:dyDescent="0.15">
      <c r="A137" s="19"/>
      <c r="B137" s="19"/>
    </row>
    <row r="138" spans="1:2" ht="17.25" x14ac:dyDescent="0.15">
      <c r="A138" s="19"/>
      <c r="B138" s="19"/>
    </row>
    <row r="139" spans="1:2" ht="17.25" x14ac:dyDescent="0.15">
      <c r="A139" s="19"/>
      <c r="B139" s="19"/>
    </row>
    <row r="140" spans="1:2" ht="17.25" x14ac:dyDescent="0.15">
      <c r="A140" s="19"/>
      <c r="B140" s="19"/>
    </row>
    <row r="141" spans="1:2" ht="17.25" x14ac:dyDescent="0.15">
      <c r="A141" s="19"/>
      <c r="B141" s="19"/>
    </row>
    <row r="142" spans="1:2" ht="17.25" x14ac:dyDescent="0.15">
      <c r="A142" s="19"/>
      <c r="B142" s="19"/>
    </row>
    <row r="143" spans="1:2" ht="17.25" x14ac:dyDescent="0.15">
      <c r="A143" s="19"/>
      <c r="B143" s="19"/>
    </row>
    <row r="144" spans="1:2" ht="17.25" x14ac:dyDescent="0.15">
      <c r="A144" s="19"/>
      <c r="B144" s="19"/>
    </row>
    <row r="145" spans="1:2" ht="17.25" x14ac:dyDescent="0.15">
      <c r="A145" s="19"/>
      <c r="B145" s="19"/>
    </row>
    <row r="146" spans="1:2" ht="17.25" x14ac:dyDescent="0.15">
      <c r="A146" s="19"/>
      <c r="B146" s="19"/>
    </row>
    <row r="147" spans="1:2" ht="17.25" x14ac:dyDescent="0.15">
      <c r="A147" s="19"/>
      <c r="B147" s="19"/>
    </row>
    <row r="148" spans="1:2" ht="17.25" x14ac:dyDescent="0.15">
      <c r="A148" s="19"/>
      <c r="B148" s="19"/>
    </row>
    <row r="149" spans="1:2" ht="17.25" x14ac:dyDescent="0.15">
      <c r="A149" s="19"/>
      <c r="B149" s="19"/>
    </row>
    <row r="150" spans="1:2" ht="17.25" x14ac:dyDescent="0.15">
      <c r="A150" s="19"/>
      <c r="B150" s="19"/>
    </row>
    <row r="151" spans="1:2" ht="17.25" x14ac:dyDescent="0.15">
      <c r="A151" s="19"/>
      <c r="B151" s="19"/>
    </row>
    <row r="152" spans="1:2" ht="17.25" x14ac:dyDescent="0.15">
      <c r="A152" s="19"/>
      <c r="B152" s="19"/>
    </row>
    <row r="153" spans="1:2" ht="17.25" x14ac:dyDescent="0.15">
      <c r="A153" s="19"/>
      <c r="B153" s="19"/>
    </row>
    <row r="154" spans="1:2" ht="17.25" x14ac:dyDescent="0.15">
      <c r="A154" s="19"/>
      <c r="B154" s="19"/>
    </row>
    <row r="155" spans="1:2" ht="17.25" x14ac:dyDescent="0.15">
      <c r="A155" s="19"/>
      <c r="B155" s="19"/>
    </row>
    <row r="156" spans="1:2" ht="17.25" x14ac:dyDescent="0.15">
      <c r="A156" s="19"/>
      <c r="B156" s="19"/>
    </row>
    <row r="157" spans="1:2" ht="17.25" x14ac:dyDescent="0.15">
      <c r="A157" s="19"/>
      <c r="B157" s="19"/>
    </row>
    <row r="158" spans="1:2" ht="17.25" x14ac:dyDescent="0.15">
      <c r="A158" s="19"/>
      <c r="B158" s="19"/>
    </row>
    <row r="159" spans="1:2" ht="17.25" x14ac:dyDescent="0.15">
      <c r="A159" s="19"/>
      <c r="B159" s="19"/>
    </row>
    <row r="160" spans="1:2" ht="17.25" x14ac:dyDescent="0.15">
      <c r="A160" s="19"/>
      <c r="B160" s="19"/>
    </row>
    <row r="161" spans="1:2" ht="17.25" x14ac:dyDescent="0.15">
      <c r="A161" s="19"/>
      <c r="B161" s="19"/>
    </row>
    <row r="162" spans="1:2" ht="17.25" x14ac:dyDescent="0.15">
      <c r="A162" s="19"/>
      <c r="B162" s="19"/>
    </row>
    <row r="163" spans="1:2" ht="17.25" x14ac:dyDescent="0.15">
      <c r="A163" s="19"/>
      <c r="B163" s="19"/>
    </row>
    <row r="164" spans="1:2" ht="17.25" x14ac:dyDescent="0.15">
      <c r="A164" s="19"/>
      <c r="B164" s="19"/>
    </row>
    <row r="165" spans="1:2" ht="17.25" x14ac:dyDescent="0.15">
      <c r="A165" s="19"/>
      <c r="B165" s="19"/>
    </row>
    <row r="166" spans="1:2" ht="17.25" x14ac:dyDescent="0.15">
      <c r="A166" s="19"/>
      <c r="B166" s="19"/>
    </row>
    <row r="167" spans="1:2" ht="17.25" x14ac:dyDescent="0.15">
      <c r="A167" s="19"/>
      <c r="B167" s="19"/>
    </row>
    <row r="168" spans="1:2" ht="17.25" x14ac:dyDescent="0.15">
      <c r="A168" s="19"/>
      <c r="B168" s="19"/>
    </row>
    <row r="169" spans="1:2" ht="17.25" x14ac:dyDescent="0.15">
      <c r="A169" s="19"/>
      <c r="B169" s="19"/>
    </row>
    <row r="170" spans="1:2" ht="17.25" x14ac:dyDescent="0.15">
      <c r="A170" s="19"/>
      <c r="B170" s="19"/>
    </row>
    <row r="171" spans="1:2" ht="17.25" x14ac:dyDescent="0.15">
      <c r="A171" s="19"/>
      <c r="B171" s="19"/>
    </row>
    <row r="172" spans="1:2" ht="17.25" x14ac:dyDescent="0.15">
      <c r="A172" s="19"/>
      <c r="B172" s="19"/>
    </row>
    <row r="173" spans="1:2" ht="17.25" x14ac:dyDescent="0.15">
      <c r="A173" s="19"/>
      <c r="B173" s="19"/>
    </row>
    <row r="174" spans="1:2" ht="17.25" x14ac:dyDescent="0.15">
      <c r="A174" s="19"/>
      <c r="B174" s="19"/>
    </row>
    <row r="175" spans="1:2" ht="17.25" x14ac:dyDescent="0.15">
      <c r="A175" s="19"/>
      <c r="B175" s="19"/>
    </row>
    <row r="176" spans="1:2" ht="17.25" x14ac:dyDescent="0.15">
      <c r="A176" s="19"/>
      <c r="B176" s="19"/>
    </row>
    <row r="177" spans="1:2" ht="17.25" x14ac:dyDescent="0.15">
      <c r="A177" s="19"/>
      <c r="B177" s="19"/>
    </row>
    <row r="178" spans="1:2" ht="17.25" x14ac:dyDescent="0.15">
      <c r="A178" s="19"/>
      <c r="B178" s="19"/>
    </row>
    <row r="179" spans="1:2" ht="17.25" x14ac:dyDescent="0.15">
      <c r="A179" s="19"/>
      <c r="B179" s="19"/>
    </row>
    <row r="180" spans="1:2" ht="17.25" x14ac:dyDescent="0.15">
      <c r="A180" s="19"/>
      <c r="B180" s="19"/>
    </row>
    <row r="181" spans="1:2" ht="17.25" x14ac:dyDescent="0.15">
      <c r="A181" s="19"/>
      <c r="B181" s="19"/>
    </row>
    <row r="182" spans="1:2" ht="17.25" x14ac:dyDescent="0.15">
      <c r="A182" s="19"/>
      <c r="B182" s="19"/>
    </row>
    <row r="183" spans="1:2" ht="17.25" x14ac:dyDescent="0.15">
      <c r="A183" s="19"/>
      <c r="B183" s="19"/>
    </row>
    <row r="184" spans="1:2" ht="17.25" x14ac:dyDescent="0.15">
      <c r="A184" s="19"/>
      <c r="B184" s="19"/>
    </row>
    <row r="185" spans="1:2" ht="17.25" x14ac:dyDescent="0.15">
      <c r="A185" s="19"/>
      <c r="B185" s="19"/>
    </row>
    <row r="186" spans="1:2" ht="17.25" x14ac:dyDescent="0.15">
      <c r="A186" s="19"/>
      <c r="B186" s="19"/>
    </row>
    <row r="187" spans="1:2" ht="17.25" x14ac:dyDescent="0.15">
      <c r="A187" s="19"/>
      <c r="B187" s="19"/>
    </row>
    <row r="188" spans="1:2" ht="17.25" x14ac:dyDescent="0.15">
      <c r="A188" s="19"/>
      <c r="B188" s="19"/>
    </row>
    <row r="189" spans="1:2" ht="17.25" x14ac:dyDescent="0.15">
      <c r="A189" s="19"/>
      <c r="B189" s="19"/>
    </row>
    <row r="190" spans="1:2" ht="17.25" x14ac:dyDescent="0.15">
      <c r="A190" s="19"/>
      <c r="B190" s="19"/>
    </row>
    <row r="191" spans="1:2" ht="17.25" x14ac:dyDescent="0.15">
      <c r="A191" s="19"/>
      <c r="B191" s="19"/>
    </row>
    <row r="192" spans="1:2" ht="17.25" x14ac:dyDescent="0.15">
      <c r="A192" s="19"/>
      <c r="B192" s="19"/>
    </row>
    <row r="193" spans="1:2" ht="17.25" x14ac:dyDescent="0.15">
      <c r="A193" s="19"/>
      <c r="B193" s="19"/>
    </row>
    <row r="194" spans="1:2" ht="17.25" x14ac:dyDescent="0.15">
      <c r="A194" s="19"/>
      <c r="B194" s="19"/>
    </row>
    <row r="195" spans="1:2" ht="17.25" x14ac:dyDescent="0.15">
      <c r="A195" s="19"/>
      <c r="B195" s="19"/>
    </row>
    <row r="196" spans="1:2" ht="17.25" x14ac:dyDescent="0.15">
      <c r="A196" s="19"/>
      <c r="B196" s="19"/>
    </row>
    <row r="197" spans="1:2" ht="17.25" x14ac:dyDescent="0.15">
      <c r="A197" s="19"/>
      <c r="B197" s="19"/>
    </row>
    <row r="198" spans="1:2" ht="17.25" x14ac:dyDescent="0.15">
      <c r="A198" s="19"/>
      <c r="B198" s="19"/>
    </row>
    <row r="199" spans="1:2" ht="17.25" x14ac:dyDescent="0.15">
      <c r="A199" s="19"/>
      <c r="B199" s="19"/>
    </row>
    <row r="200" spans="1:2" ht="17.25" x14ac:dyDescent="0.15">
      <c r="A200" s="19"/>
      <c r="B200" s="19"/>
    </row>
    <row r="201" spans="1:2" ht="17.25" x14ac:dyDescent="0.15">
      <c r="A201" s="19"/>
      <c r="B201" s="19"/>
    </row>
    <row r="202" spans="1:2" ht="17.25" x14ac:dyDescent="0.15">
      <c r="A202" s="19"/>
      <c r="B202" s="19"/>
    </row>
    <row r="203" spans="1:2" ht="17.25" x14ac:dyDescent="0.15">
      <c r="A203" s="19"/>
      <c r="B203" s="19"/>
    </row>
    <row r="204" spans="1:2" ht="17.25" x14ac:dyDescent="0.15">
      <c r="A204" s="19"/>
      <c r="B204" s="19"/>
    </row>
    <row r="205" spans="1:2" ht="17.25" x14ac:dyDescent="0.15">
      <c r="A205" s="19"/>
      <c r="B205" s="19"/>
    </row>
    <row r="206" spans="1:2" ht="17.25" x14ac:dyDescent="0.15">
      <c r="A206" s="19"/>
      <c r="B206" s="19"/>
    </row>
    <row r="207" spans="1:2" ht="17.25" x14ac:dyDescent="0.15">
      <c r="A207" s="19"/>
      <c r="B207" s="19"/>
    </row>
    <row r="208" spans="1:2" ht="17.25" x14ac:dyDescent="0.15">
      <c r="A208" s="19"/>
      <c r="B208" s="19"/>
    </row>
    <row r="209" spans="1:2" ht="17.25" x14ac:dyDescent="0.15">
      <c r="A209" s="19"/>
      <c r="B209" s="19"/>
    </row>
    <row r="210" spans="1:2" ht="17.25" x14ac:dyDescent="0.15">
      <c r="A210" s="19"/>
      <c r="B210" s="19"/>
    </row>
    <row r="211" spans="1:2" ht="17.25" x14ac:dyDescent="0.15">
      <c r="A211" s="19"/>
      <c r="B211" s="19"/>
    </row>
    <row r="212" spans="1:2" ht="17.25" x14ac:dyDescent="0.15">
      <c r="A212" s="19"/>
      <c r="B212" s="19"/>
    </row>
    <row r="213" spans="1:2" ht="17.25" x14ac:dyDescent="0.15">
      <c r="A213" s="19"/>
      <c r="B213" s="19"/>
    </row>
    <row r="214" spans="1:2" ht="17.25" x14ac:dyDescent="0.15">
      <c r="A214" s="19"/>
      <c r="B214" s="19"/>
    </row>
    <row r="215" spans="1:2" ht="17.25" x14ac:dyDescent="0.15">
      <c r="A215" s="19"/>
      <c r="B215" s="19"/>
    </row>
    <row r="216" spans="1:2" ht="17.25" x14ac:dyDescent="0.15">
      <c r="A216" s="19"/>
      <c r="B216" s="19"/>
    </row>
    <row r="217" spans="1:2" ht="17.25" x14ac:dyDescent="0.15">
      <c r="A217" s="19"/>
      <c r="B217" s="19"/>
    </row>
    <row r="218" spans="1:2" ht="17.25" x14ac:dyDescent="0.15">
      <c r="A218" s="19"/>
      <c r="B218" s="19"/>
    </row>
    <row r="219" spans="1:2" ht="17.25" x14ac:dyDescent="0.15">
      <c r="A219" s="19"/>
      <c r="B219" s="19"/>
    </row>
    <row r="220" spans="1:2" ht="17.25" x14ac:dyDescent="0.15">
      <c r="A220" s="19"/>
      <c r="B220" s="19"/>
    </row>
    <row r="221" spans="1:2" ht="17.25" x14ac:dyDescent="0.15">
      <c r="A221" s="19"/>
      <c r="B221" s="19"/>
    </row>
    <row r="222" spans="1:2" ht="17.25" x14ac:dyDescent="0.15">
      <c r="A222" s="19"/>
      <c r="B222" s="19"/>
    </row>
    <row r="223" spans="1:2" ht="17.25" x14ac:dyDescent="0.15">
      <c r="A223" s="19"/>
      <c r="B223" s="19"/>
    </row>
    <row r="224" spans="1:2" ht="17.25" x14ac:dyDescent="0.15">
      <c r="A224" s="19"/>
      <c r="B224" s="19"/>
    </row>
    <row r="225" spans="1:2" ht="17.25" x14ac:dyDescent="0.15">
      <c r="A225" s="19"/>
      <c r="B225" s="19"/>
    </row>
    <row r="226" spans="1:2" ht="17.25" x14ac:dyDescent="0.15">
      <c r="A226" s="19"/>
      <c r="B226" s="19"/>
    </row>
    <row r="227" spans="1:2" ht="17.25" x14ac:dyDescent="0.15">
      <c r="A227" s="19"/>
      <c r="B227" s="19"/>
    </row>
    <row r="228" spans="1:2" ht="17.25" x14ac:dyDescent="0.15">
      <c r="A228" s="19"/>
      <c r="B228" s="19"/>
    </row>
    <row r="229" spans="1:2" ht="17.25" x14ac:dyDescent="0.15">
      <c r="A229" s="19"/>
      <c r="B229" s="19"/>
    </row>
    <row r="230" spans="1:2" ht="17.25" x14ac:dyDescent="0.15">
      <c r="A230" s="19"/>
      <c r="B230" s="19"/>
    </row>
    <row r="231" spans="1:2" ht="17.25" x14ac:dyDescent="0.15">
      <c r="A231" s="19"/>
      <c r="B231" s="19"/>
    </row>
    <row r="232" spans="1:2" ht="17.25" x14ac:dyDescent="0.15">
      <c r="A232" s="19"/>
      <c r="B232" s="19"/>
    </row>
    <row r="233" spans="1:2" ht="17.25" x14ac:dyDescent="0.15">
      <c r="A233" s="19"/>
      <c r="B233" s="19"/>
    </row>
    <row r="234" spans="1:2" ht="17.25" x14ac:dyDescent="0.15">
      <c r="A234" s="19"/>
      <c r="B234" s="19"/>
    </row>
    <row r="235" spans="1:2" ht="17.25" x14ac:dyDescent="0.15">
      <c r="A235" s="19"/>
      <c r="B235" s="19"/>
    </row>
    <row r="236" spans="1:2" ht="17.25" x14ac:dyDescent="0.15">
      <c r="A236" s="19"/>
      <c r="B236" s="19"/>
    </row>
    <row r="237" spans="1:2" ht="17.25" x14ac:dyDescent="0.15">
      <c r="A237" s="19"/>
      <c r="B237" s="19"/>
    </row>
    <row r="238" spans="1:2" ht="17.25" x14ac:dyDescent="0.15">
      <c r="A238" s="19"/>
      <c r="B238" s="19"/>
    </row>
    <row r="239" spans="1:2" ht="17.25" x14ac:dyDescent="0.15">
      <c r="A239" s="19"/>
      <c r="B239" s="19"/>
    </row>
    <row r="240" spans="1:2" ht="17.25" x14ac:dyDescent="0.15">
      <c r="A240" s="19"/>
      <c r="B240" s="19"/>
    </row>
    <row r="241" spans="1:2" ht="17.25" x14ac:dyDescent="0.15">
      <c r="A241" s="19"/>
      <c r="B241" s="19"/>
    </row>
    <row r="242" spans="1:2" ht="17.25" x14ac:dyDescent="0.15">
      <c r="A242" s="19"/>
      <c r="B242" s="19"/>
    </row>
    <row r="243" spans="1:2" ht="17.25" x14ac:dyDescent="0.15">
      <c r="A243" s="19"/>
      <c r="B243" s="19"/>
    </row>
    <row r="244" spans="1:2" ht="17.25" x14ac:dyDescent="0.15">
      <c r="A244" s="19"/>
      <c r="B244" s="19"/>
    </row>
    <row r="245" spans="1:2" ht="17.25" x14ac:dyDescent="0.15">
      <c r="A245" s="19"/>
      <c r="B245" s="19"/>
    </row>
    <row r="246" spans="1:2" ht="17.25" x14ac:dyDescent="0.15">
      <c r="A246" s="19"/>
      <c r="B246" s="19"/>
    </row>
    <row r="247" spans="1:2" ht="17.25" x14ac:dyDescent="0.15">
      <c r="A247" s="19"/>
      <c r="B247" s="19"/>
    </row>
    <row r="248" spans="1:2" ht="17.25" x14ac:dyDescent="0.15">
      <c r="A248" s="19"/>
      <c r="B248" s="19"/>
    </row>
    <row r="249" spans="1:2" ht="17.25" x14ac:dyDescent="0.15">
      <c r="A249" s="19"/>
      <c r="B249" s="19"/>
    </row>
    <row r="250" spans="1:2" ht="17.25" x14ac:dyDescent="0.15">
      <c r="A250" s="19"/>
      <c r="B250" s="19"/>
    </row>
    <row r="251" spans="1:2" ht="17.25" x14ac:dyDescent="0.15">
      <c r="A251" s="19"/>
      <c r="B251" s="19"/>
    </row>
    <row r="252" spans="1:2" ht="17.25" x14ac:dyDescent="0.15">
      <c r="A252" s="19"/>
      <c r="B252" s="19"/>
    </row>
    <row r="253" spans="1:2" ht="17.25" x14ac:dyDescent="0.15">
      <c r="A253" s="19"/>
      <c r="B253" s="19"/>
    </row>
    <row r="254" spans="1:2" ht="17.25" x14ac:dyDescent="0.15">
      <c r="A254" s="19"/>
      <c r="B254" s="19"/>
    </row>
    <row r="255" spans="1:2" ht="17.25" x14ac:dyDescent="0.15">
      <c r="A255" s="19"/>
      <c r="B255" s="19"/>
    </row>
    <row r="256" spans="1:2" ht="17.25" x14ac:dyDescent="0.15">
      <c r="A256" s="19"/>
      <c r="B256" s="19"/>
    </row>
    <row r="257" spans="1:2" ht="17.25" x14ac:dyDescent="0.15">
      <c r="A257" s="19"/>
      <c r="B257" s="19"/>
    </row>
    <row r="258" spans="1:2" ht="17.25" x14ac:dyDescent="0.15">
      <c r="A258" s="19"/>
      <c r="B258" s="19"/>
    </row>
    <row r="259" spans="1:2" ht="17.25" x14ac:dyDescent="0.15">
      <c r="A259" s="19"/>
      <c r="B259" s="19"/>
    </row>
    <row r="260" spans="1:2" ht="17.25" x14ac:dyDescent="0.15">
      <c r="A260" s="19"/>
      <c r="B260" s="19"/>
    </row>
    <row r="261" spans="1:2" ht="17.25" x14ac:dyDescent="0.15">
      <c r="A261" s="19"/>
      <c r="B261" s="19"/>
    </row>
    <row r="262" spans="1:2" ht="17.25" x14ac:dyDescent="0.15">
      <c r="A262" s="19"/>
      <c r="B262" s="19"/>
    </row>
    <row r="263" spans="1:2" ht="17.25" x14ac:dyDescent="0.15">
      <c r="A263" s="19"/>
      <c r="B263" s="19"/>
    </row>
    <row r="264" spans="1:2" ht="17.25" x14ac:dyDescent="0.15">
      <c r="A264" s="19"/>
      <c r="B264" s="19"/>
    </row>
    <row r="265" spans="1:2" ht="17.25" x14ac:dyDescent="0.15">
      <c r="A265" s="19"/>
      <c r="B265" s="19"/>
    </row>
    <row r="266" spans="1:2" ht="17.25" x14ac:dyDescent="0.15">
      <c r="A266" s="19"/>
      <c r="B266" s="19"/>
    </row>
    <row r="267" spans="1:2" ht="17.25" x14ac:dyDescent="0.15">
      <c r="A267" s="19"/>
      <c r="B267" s="19"/>
    </row>
    <row r="268" spans="1:2" ht="17.25" x14ac:dyDescent="0.15">
      <c r="A268" s="19"/>
      <c r="B268" s="19"/>
    </row>
    <row r="269" spans="1:2" ht="17.25" x14ac:dyDescent="0.15">
      <c r="A269" s="19"/>
      <c r="B269" s="19"/>
    </row>
    <row r="270" spans="1:2" ht="17.25" x14ac:dyDescent="0.15">
      <c r="A270" s="19"/>
      <c r="B270" s="19"/>
    </row>
    <row r="271" spans="1:2" ht="17.25" x14ac:dyDescent="0.15">
      <c r="A271" s="19"/>
      <c r="B271" s="19"/>
    </row>
    <row r="272" spans="1:2" ht="17.25" x14ac:dyDescent="0.15">
      <c r="A272" s="19"/>
      <c r="B272" s="19"/>
    </row>
    <row r="273" spans="1:2" ht="17.25" x14ac:dyDescent="0.15">
      <c r="A273" s="19"/>
      <c r="B273" s="19"/>
    </row>
    <row r="274" spans="1:2" ht="17.25" x14ac:dyDescent="0.15">
      <c r="A274" s="19"/>
      <c r="B274" s="19"/>
    </row>
    <row r="275" spans="1:2" ht="17.25" x14ac:dyDescent="0.15">
      <c r="A275" s="19"/>
      <c r="B275" s="19"/>
    </row>
    <row r="276" spans="1:2" ht="17.25" x14ac:dyDescent="0.15">
      <c r="A276" s="19"/>
      <c r="B276" s="19"/>
    </row>
    <row r="277" spans="1:2" ht="17.25" x14ac:dyDescent="0.15">
      <c r="A277" s="19"/>
      <c r="B277" s="19"/>
    </row>
    <row r="278" spans="1:2" ht="17.25" x14ac:dyDescent="0.15">
      <c r="A278" s="19"/>
      <c r="B278" s="19"/>
    </row>
    <row r="279" spans="1:2" ht="17.25" x14ac:dyDescent="0.15">
      <c r="A279" s="19"/>
      <c r="B279" s="19"/>
    </row>
    <row r="280" spans="1:2" ht="17.25" x14ac:dyDescent="0.15">
      <c r="A280" s="19"/>
      <c r="B280" s="19"/>
    </row>
    <row r="281" spans="1:2" ht="17.25" x14ac:dyDescent="0.15">
      <c r="A281" s="19"/>
      <c r="B281" s="19"/>
    </row>
    <row r="282" spans="1:2" ht="17.25" x14ac:dyDescent="0.15">
      <c r="A282" s="19"/>
      <c r="B282" s="19"/>
    </row>
    <row r="283" spans="1:2" ht="17.25" x14ac:dyDescent="0.15">
      <c r="A283" s="19"/>
      <c r="B283" s="19"/>
    </row>
    <row r="284" spans="1:2" ht="17.25" x14ac:dyDescent="0.15">
      <c r="A284" s="19"/>
      <c r="B284" s="19"/>
    </row>
    <row r="285" spans="1:2" ht="17.25" x14ac:dyDescent="0.15">
      <c r="A285" s="19"/>
      <c r="B285" s="19"/>
    </row>
    <row r="286" spans="1:2" ht="17.25" x14ac:dyDescent="0.15">
      <c r="A286" s="19"/>
      <c r="B286" s="19"/>
    </row>
    <row r="287" spans="1:2" ht="17.25" x14ac:dyDescent="0.15">
      <c r="A287" s="19"/>
      <c r="B287" s="19"/>
    </row>
    <row r="288" spans="1:2" ht="17.25" x14ac:dyDescent="0.15">
      <c r="A288" s="19"/>
      <c r="B288" s="19"/>
    </row>
    <row r="289" spans="1:2" ht="17.25" x14ac:dyDescent="0.15">
      <c r="A289" s="19"/>
      <c r="B289" s="19"/>
    </row>
    <row r="290" spans="1:2" ht="17.25" x14ac:dyDescent="0.15">
      <c r="A290" s="19"/>
      <c r="B290" s="19"/>
    </row>
    <row r="291" spans="1:2" ht="17.25" x14ac:dyDescent="0.15">
      <c r="A291" s="19"/>
      <c r="B291" s="19"/>
    </row>
    <row r="292" spans="1:2" ht="17.25" x14ac:dyDescent="0.15">
      <c r="A292" s="19"/>
      <c r="B292" s="19"/>
    </row>
    <row r="293" spans="1:2" ht="17.25" x14ac:dyDescent="0.15">
      <c r="A293" s="19"/>
      <c r="B293" s="19"/>
    </row>
    <row r="294" spans="1:2" ht="17.25" x14ac:dyDescent="0.15">
      <c r="A294" s="19"/>
      <c r="B294" s="19"/>
    </row>
    <row r="295" spans="1:2" ht="17.25" x14ac:dyDescent="0.15">
      <c r="A295" s="19"/>
      <c r="B295" s="19"/>
    </row>
    <row r="296" spans="1:2" ht="17.25" x14ac:dyDescent="0.15">
      <c r="A296" s="19"/>
      <c r="B296" s="19"/>
    </row>
    <row r="297" spans="1:2" ht="17.25" x14ac:dyDescent="0.15">
      <c r="A297" s="19"/>
      <c r="B297" s="19"/>
    </row>
    <row r="298" spans="1:2" ht="17.25" x14ac:dyDescent="0.15">
      <c r="A298" s="19"/>
      <c r="B298" s="19"/>
    </row>
    <row r="299" spans="1:2" ht="17.25" x14ac:dyDescent="0.15">
      <c r="A299" s="19"/>
      <c r="B299" s="19"/>
    </row>
    <row r="300" spans="1:2" ht="17.25" x14ac:dyDescent="0.15">
      <c r="A300" s="19"/>
      <c r="B300" s="19"/>
    </row>
    <row r="301" spans="1:2" ht="17.25" x14ac:dyDescent="0.15">
      <c r="A301" s="19"/>
      <c r="B301" s="19"/>
    </row>
    <row r="302" spans="1:2" ht="17.25" x14ac:dyDescent="0.15">
      <c r="A302" s="19"/>
      <c r="B302" s="19"/>
    </row>
    <row r="303" spans="1:2" ht="17.25" x14ac:dyDescent="0.15">
      <c r="A303" s="19"/>
      <c r="B303" s="19"/>
    </row>
    <row r="304" spans="1:2" ht="17.25" x14ac:dyDescent="0.15">
      <c r="A304" s="19"/>
      <c r="B304" s="19"/>
    </row>
    <row r="305" spans="1:2" ht="17.25" x14ac:dyDescent="0.15">
      <c r="A305" s="19"/>
      <c r="B305" s="19"/>
    </row>
    <row r="306" spans="1:2" ht="17.25" x14ac:dyDescent="0.15">
      <c r="A306" s="19"/>
      <c r="B306" s="19"/>
    </row>
    <row r="307" spans="1:2" ht="17.25" x14ac:dyDescent="0.15">
      <c r="A307" s="19"/>
      <c r="B307" s="19"/>
    </row>
    <row r="308" spans="1:2" ht="17.25" x14ac:dyDescent="0.15">
      <c r="A308" s="19"/>
      <c r="B308" s="19"/>
    </row>
    <row r="309" spans="1:2" ht="17.25" x14ac:dyDescent="0.15">
      <c r="A309" s="19"/>
      <c r="B309" s="19"/>
    </row>
    <row r="310" spans="1:2" ht="17.25" x14ac:dyDescent="0.15">
      <c r="A310" s="19"/>
      <c r="B310" s="19"/>
    </row>
    <row r="311" spans="1:2" ht="17.25" x14ac:dyDescent="0.15">
      <c r="A311" s="19"/>
      <c r="B311" s="19"/>
    </row>
    <row r="312" spans="1:2" ht="17.25" x14ac:dyDescent="0.15">
      <c r="A312" s="19"/>
      <c r="B312" s="19"/>
    </row>
    <row r="313" spans="1:2" ht="17.25" x14ac:dyDescent="0.15">
      <c r="A313" s="19"/>
      <c r="B313" s="19"/>
    </row>
    <row r="314" spans="1:2" ht="17.25" x14ac:dyDescent="0.15">
      <c r="A314" s="19"/>
      <c r="B314" s="19"/>
    </row>
    <row r="315" spans="1:2" ht="17.25" x14ac:dyDescent="0.15">
      <c r="A315" s="19"/>
      <c r="B315" s="19"/>
    </row>
    <row r="316" spans="1:2" ht="17.25" x14ac:dyDescent="0.15">
      <c r="A316" s="19"/>
      <c r="B316" s="19"/>
    </row>
    <row r="317" spans="1:2" ht="17.25" x14ac:dyDescent="0.15">
      <c r="A317" s="19"/>
      <c r="B317" s="19"/>
    </row>
    <row r="318" spans="1:2" ht="17.25" x14ac:dyDescent="0.15">
      <c r="A318" s="19"/>
      <c r="B318" s="19"/>
    </row>
    <row r="319" spans="1:2" ht="17.25" x14ac:dyDescent="0.15">
      <c r="A319" s="19"/>
      <c r="B319" s="19"/>
    </row>
    <row r="320" spans="1:2" ht="17.25" x14ac:dyDescent="0.15">
      <c r="A320" s="19"/>
      <c r="B320" s="19"/>
    </row>
    <row r="321" spans="1:2" ht="17.25" x14ac:dyDescent="0.15">
      <c r="A321" s="19"/>
      <c r="B321" s="19"/>
    </row>
    <row r="322" spans="1:2" ht="17.25" x14ac:dyDescent="0.15">
      <c r="A322" s="19"/>
      <c r="B322" s="19"/>
    </row>
    <row r="323" spans="1:2" ht="17.25" x14ac:dyDescent="0.15">
      <c r="A323" s="19"/>
      <c r="B323" s="19"/>
    </row>
    <row r="324" spans="1:2" ht="17.25" x14ac:dyDescent="0.15">
      <c r="A324" s="19"/>
      <c r="B324" s="19"/>
    </row>
    <row r="325" spans="1:2" ht="17.25" x14ac:dyDescent="0.15">
      <c r="A325" s="19"/>
      <c r="B325" s="19"/>
    </row>
    <row r="326" spans="1:2" ht="17.25" x14ac:dyDescent="0.15">
      <c r="A326" s="19"/>
      <c r="B326" s="19"/>
    </row>
    <row r="327" spans="1:2" ht="17.25" x14ac:dyDescent="0.15">
      <c r="A327" s="19"/>
      <c r="B327" s="19"/>
    </row>
    <row r="328" spans="1:2" ht="17.25" x14ac:dyDescent="0.15">
      <c r="A328" s="19"/>
      <c r="B328" s="19"/>
    </row>
    <row r="329" spans="1:2" ht="17.25" x14ac:dyDescent="0.15">
      <c r="A329" s="19"/>
      <c r="B329" s="19"/>
    </row>
    <row r="330" spans="1:2" ht="17.25" x14ac:dyDescent="0.15">
      <c r="A330" s="19"/>
      <c r="B330" s="19"/>
    </row>
    <row r="331" spans="1:2" ht="17.25" x14ac:dyDescent="0.15">
      <c r="A331" s="19"/>
      <c r="B331" s="19"/>
    </row>
    <row r="332" spans="1:2" ht="17.25" x14ac:dyDescent="0.15">
      <c r="A332" s="19"/>
      <c r="B332" s="19"/>
    </row>
    <row r="333" spans="1:2" ht="17.25" x14ac:dyDescent="0.15">
      <c r="A333" s="19"/>
      <c r="B333" s="19"/>
    </row>
    <row r="334" spans="1:2" ht="17.25" x14ac:dyDescent="0.15">
      <c r="A334" s="19"/>
      <c r="B334" s="19"/>
    </row>
    <row r="335" spans="1:2" ht="17.25" x14ac:dyDescent="0.15">
      <c r="A335" s="19"/>
      <c r="B335" s="19"/>
    </row>
    <row r="336" spans="1:2" ht="17.25" x14ac:dyDescent="0.15">
      <c r="A336" s="19"/>
      <c r="B336" s="19"/>
    </row>
    <row r="337" spans="1:2" ht="17.25" x14ac:dyDescent="0.15">
      <c r="A337" s="19"/>
      <c r="B337" s="19"/>
    </row>
    <row r="338" spans="1:2" ht="17.25" x14ac:dyDescent="0.15">
      <c r="A338" s="19"/>
      <c r="B338" s="19"/>
    </row>
    <row r="339" spans="1:2" ht="17.25" x14ac:dyDescent="0.15">
      <c r="A339" s="19"/>
      <c r="B339" s="19"/>
    </row>
    <row r="340" spans="1:2" ht="17.25" x14ac:dyDescent="0.15">
      <c r="A340" s="19"/>
      <c r="B340" s="19"/>
    </row>
    <row r="341" spans="1:2" ht="17.25" x14ac:dyDescent="0.15">
      <c r="A341" s="19"/>
      <c r="B341" s="19"/>
    </row>
    <row r="342" spans="1:2" ht="17.25" x14ac:dyDescent="0.15">
      <c r="A342" s="19"/>
      <c r="B342" s="19"/>
    </row>
    <row r="343" spans="1:2" ht="17.25" x14ac:dyDescent="0.15">
      <c r="A343" s="19"/>
      <c r="B343" s="19"/>
    </row>
    <row r="344" spans="1:2" ht="17.25" x14ac:dyDescent="0.15">
      <c r="A344" s="19"/>
      <c r="B344" s="19"/>
    </row>
    <row r="345" spans="1:2" ht="17.25" x14ac:dyDescent="0.15">
      <c r="A345" s="19"/>
      <c r="B345" s="19"/>
    </row>
    <row r="346" spans="1:2" ht="17.25" x14ac:dyDescent="0.15">
      <c r="A346" s="19"/>
      <c r="B346" s="19"/>
    </row>
    <row r="347" spans="1:2" ht="17.25" x14ac:dyDescent="0.15">
      <c r="A347" s="19"/>
      <c r="B347" s="19"/>
    </row>
    <row r="348" spans="1:2" ht="17.25" x14ac:dyDescent="0.15">
      <c r="A348" s="19"/>
      <c r="B348" s="19"/>
    </row>
    <row r="349" spans="1:2" ht="17.25" x14ac:dyDescent="0.15">
      <c r="A349" s="19"/>
      <c r="B349" s="19"/>
    </row>
    <row r="350" spans="1:2" ht="17.25" x14ac:dyDescent="0.15">
      <c r="A350" s="19"/>
      <c r="B350" s="19"/>
    </row>
    <row r="351" spans="1:2" ht="17.25" x14ac:dyDescent="0.15">
      <c r="A351" s="19"/>
      <c r="B351" s="19"/>
    </row>
    <row r="352" spans="1:2" ht="17.25" x14ac:dyDescent="0.15">
      <c r="A352" s="19"/>
      <c r="B352" s="19"/>
    </row>
    <row r="353" spans="1:2" ht="17.25" x14ac:dyDescent="0.15">
      <c r="A353" s="19"/>
      <c r="B353" s="19"/>
    </row>
    <row r="354" spans="1:2" ht="17.25" x14ac:dyDescent="0.15">
      <c r="A354" s="19"/>
      <c r="B354" s="19"/>
    </row>
    <row r="355" spans="1:2" ht="17.25" x14ac:dyDescent="0.15">
      <c r="A355" s="19"/>
      <c r="B355" s="19"/>
    </row>
    <row r="356" spans="1:2" ht="17.25" x14ac:dyDescent="0.15">
      <c r="A356" s="19"/>
      <c r="B356" s="19"/>
    </row>
    <row r="357" spans="1:2" ht="17.25" x14ac:dyDescent="0.15">
      <c r="A357" s="19"/>
      <c r="B357" s="19"/>
    </row>
    <row r="358" spans="1:2" ht="17.25" x14ac:dyDescent="0.15">
      <c r="A358" s="19"/>
      <c r="B358" s="19"/>
    </row>
    <row r="359" spans="1:2" ht="17.25" x14ac:dyDescent="0.15">
      <c r="A359" s="19"/>
      <c r="B359" s="19"/>
    </row>
    <row r="360" spans="1:2" ht="17.25" x14ac:dyDescent="0.15">
      <c r="A360" s="19"/>
      <c r="B360" s="19"/>
    </row>
    <row r="361" spans="1:2" ht="17.25" x14ac:dyDescent="0.15">
      <c r="A361" s="19"/>
      <c r="B361" s="19"/>
    </row>
    <row r="362" spans="1:2" ht="17.25" x14ac:dyDescent="0.15">
      <c r="A362" s="19"/>
      <c r="B362" s="19"/>
    </row>
    <row r="363" spans="1:2" ht="17.25" x14ac:dyDescent="0.15">
      <c r="A363" s="19"/>
      <c r="B363" s="19"/>
    </row>
    <row r="364" spans="1:2" ht="17.25" x14ac:dyDescent="0.15">
      <c r="A364" s="19"/>
      <c r="B364" s="19"/>
    </row>
    <row r="365" spans="1:2" ht="17.25" x14ac:dyDescent="0.15">
      <c r="A365" s="19"/>
      <c r="B365" s="19"/>
    </row>
    <row r="366" spans="1:2" ht="17.25" x14ac:dyDescent="0.15">
      <c r="A366" s="19"/>
      <c r="B366" s="19"/>
    </row>
    <row r="367" spans="1:2" ht="17.25" x14ac:dyDescent="0.15">
      <c r="A367" s="19"/>
      <c r="B367" s="19"/>
    </row>
    <row r="368" spans="1:2" ht="17.25" x14ac:dyDescent="0.15">
      <c r="A368" s="19"/>
      <c r="B368" s="19"/>
    </row>
    <row r="369" spans="1:2" ht="17.25" x14ac:dyDescent="0.15">
      <c r="A369" s="19"/>
      <c r="B369" s="19"/>
    </row>
    <row r="370" spans="1:2" ht="17.25" x14ac:dyDescent="0.15">
      <c r="A370" s="19"/>
      <c r="B370" s="19"/>
    </row>
    <row r="371" spans="1:2" ht="17.25" x14ac:dyDescent="0.15">
      <c r="A371" s="19"/>
      <c r="B371" s="19"/>
    </row>
    <row r="372" spans="1:2" ht="17.25" x14ac:dyDescent="0.15">
      <c r="A372" s="19"/>
      <c r="B372" s="19"/>
    </row>
    <row r="373" spans="1:2" ht="17.25" x14ac:dyDescent="0.15">
      <c r="A373" s="19"/>
      <c r="B373" s="19"/>
    </row>
    <row r="374" spans="1:2" ht="17.25" x14ac:dyDescent="0.15">
      <c r="A374" s="19"/>
      <c r="B374" s="19"/>
    </row>
    <row r="375" spans="1:2" ht="17.25" x14ac:dyDescent="0.15">
      <c r="A375" s="19"/>
      <c r="B375" s="19"/>
    </row>
    <row r="376" spans="1:2" ht="17.25" x14ac:dyDescent="0.15">
      <c r="A376" s="19"/>
      <c r="B376" s="19"/>
    </row>
    <row r="377" spans="1:2" ht="17.25" x14ac:dyDescent="0.15">
      <c r="A377" s="19"/>
      <c r="B377" s="19"/>
    </row>
    <row r="378" spans="1:2" ht="17.25" x14ac:dyDescent="0.15">
      <c r="A378" s="19"/>
      <c r="B378" s="19"/>
    </row>
    <row r="379" spans="1:2" ht="17.25" x14ac:dyDescent="0.15">
      <c r="A379" s="19"/>
      <c r="B379" s="19"/>
    </row>
    <row r="380" spans="1:2" ht="17.25" x14ac:dyDescent="0.15">
      <c r="A380" s="19"/>
      <c r="B380" s="19"/>
    </row>
    <row r="381" spans="1:2" ht="17.25" x14ac:dyDescent="0.15">
      <c r="A381" s="19"/>
      <c r="B381" s="19"/>
    </row>
    <row r="382" spans="1:2" ht="17.25" x14ac:dyDescent="0.15">
      <c r="A382" s="19"/>
      <c r="B382" s="19"/>
    </row>
    <row r="383" spans="1:2" ht="17.25" x14ac:dyDescent="0.15">
      <c r="A383" s="19"/>
      <c r="B383" s="19"/>
    </row>
    <row r="384" spans="1:2" ht="17.25" x14ac:dyDescent="0.15">
      <c r="A384" s="19"/>
      <c r="B384" s="19"/>
    </row>
    <row r="385" spans="1:2" ht="17.25" x14ac:dyDescent="0.15">
      <c r="A385" s="19"/>
      <c r="B385" s="19"/>
    </row>
    <row r="386" spans="1:2" ht="17.25" x14ac:dyDescent="0.15">
      <c r="A386" s="19"/>
      <c r="B386" s="19"/>
    </row>
    <row r="387" spans="1:2" ht="17.25" x14ac:dyDescent="0.15">
      <c r="A387" s="19"/>
      <c r="B387" s="19"/>
    </row>
    <row r="388" spans="1:2" ht="17.25" x14ac:dyDescent="0.15">
      <c r="A388" s="19"/>
      <c r="B388" s="19"/>
    </row>
    <row r="389" spans="1:2" ht="17.25" x14ac:dyDescent="0.15">
      <c r="A389" s="19"/>
      <c r="B389" s="19"/>
    </row>
    <row r="390" spans="1:2" ht="17.25" x14ac:dyDescent="0.15">
      <c r="A390" s="19"/>
      <c r="B390" s="19"/>
    </row>
    <row r="391" spans="1:2" ht="17.25" x14ac:dyDescent="0.15">
      <c r="A391" s="19"/>
      <c r="B391" s="19"/>
    </row>
    <row r="392" spans="1:2" ht="17.25" x14ac:dyDescent="0.15">
      <c r="A392" s="19"/>
      <c r="B392" s="19"/>
    </row>
    <row r="393" spans="1:2" ht="17.25" x14ac:dyDescent="0.15">
      <c r="A393" s="19"/>
      <c r="B393" s="19"/>
    </row>
    <row r="394" spans="1:2" ht="17.25" x14ac:dyDescent="0.15">
      <c r="A394" s="19"/>
      <c r="B394" s="19"/>
    </row>
    <row r="395" spans="1:2" ht="17.25" x14ac:dyDescent="0.15">
      <c r="A395" s="19"/>
      <c r="B395" s="19"/>
    </row>
    <row r="396" spans="1:2" ht="17.25" x14ac:dyDescent="0.15">
      <c r="A396" s="19"/>
      <c r="B396" s="19"/>
    </row>
    <row r="397" spans="1:2" ht="17.25" x14ac:dyDescent="0.15">
      <c r="A397" s="19"/>
      <c r="B397" s="19"/>
    </row>
    <row r="398" spans="1:2" ht="17.25" x14ac:dyDescent="0.15">
      <c r="A398" s="19"/>
      <c r="B398" s="19"/>
    </row>
    <row r="399" spans="1:2" ht="17.25" x14ac:dyDescent="0.15">
      <c r="A399" s="19"/>
      <c r="B399" s="19"/>
    </row>
    <row r="400" spans="1:2" ht="17.25" x14ac:dyDescent="0.15">
      <c r="A400" s="19"/>
      <c r="B400" s="19"/>
    </row>
    <row r="401" spans="1:2" ht="17.25" x14ac:dyDescent="0.15">
      <c r="A401" s="19"/>
      <c r="B401" s="19"/>
    </row>
    <row r="402" spans="1:2" ht="17.25" x14ac:dyDescent="0.15">
      <c r="A402" s="19"/>
      <c r="B402" s="19"/>
    </row>
    <row r="403" spans="1:2" ht="17.25" x14ac:dyDescent="0.15">
      <c r="A403" s="19"/>
      <c r="B403" s="19"/>
    </row>
    <row r="404" spans="1:2" ht="17.25" x14ac:dyDescent="0.15">
      <c r="A404" s="19"/>
      <c r="B404" s="19"/>
    </row>
    <row r="405" spans="1:2" ht="17.25" x14ac:dyDescent="0.15">
      <c r="A405" s="19"/>
      <c r="B405" s="19"/>
    </row>
    <row r="406" spans="1:2" ht="17.25" x14ac:dyDescent="0.15">
      <c r="A406" s="19"/>
      <c r="B406" s="19"/>
    </row>
    <row r="407" spans="1:2" ht="17.25" x14ac:dyDescent="0.15">
      <c r="A407" s="19"/>
      <c r="B407" s="19"/>
    </row>
    <row r="408" spans="1:2" ht="17.25" x14ac:dyDescent="0.15">
      <c r="A408" s="19"/>
      <c r="B408" s="19"/>
    </row>
    <row r="409" spans="1:2" ht="17.25" x14ac:dyDescent="0.15">
      <c r="A409" s="19"/>
      <c r="B409" s="19"/>
    </row>
    <row r="410" spans="1:2" ht="17.25" x14ac:dyDescent="0.15">
      <c r="A410" s="19"/>
      <c r="B410" s="19"/>
    </row>
    <row r="411" spans="1:2" ht="17.25" x14ac:dyDescent="0.15">
      <c r="A411" s="19"/>
      <c r="B411" s="19"/>
    </row>
    <row r="412" spans="1:2" ht="17.25" x14ac:dyDescent="0.15">
      <c r="A412" s="19"/>
      <c r="B412" s="19"/>
    </row>
    <row r="413" spans="1:2" ht="17.25" x14ac:dyDescent="0.15">
      <c r="A413" s="19"/>
      <c r="B413" s="19"/>
    </row>
    <row r="414" spans="1:2" ht="17.25" x14ac:dyDescent="0.15">
      <c r="A414" s="19"/>
      <c r="B414" s="19"/>
    </row>
    <row r="415" spans="1:2" ht="17.25" x14ac:dyDescent="0.15">
      <c r="A415" s="19"/>
      <c r="B415" s="19"/>
    </row>
    <row r="416" spans="1:2" ht="17.25" x14ac:dyDescent="0.15">
      <c r="A416" s="19"/>
      <c r="B416" s="19"/>
    </row>
    <row r="417" spans="1:2" ht="17.25" x14ac:dyDescent="0.15">
      <c r="A417" s="19"/>
      <c r="B417" s="19"/>
    </row>
    <row r="418" spans="1:2" ht="17.25" x14ac:dyDescent="0.15">
      <c r="A418" s="19"/>
      <c r="B418" s="19"/>
    </row>
    <row r="419" spans="1:2" ht="17.25" x14ac:dyDescent="0.15">
      <c r="A419" s="19"/>
      <c r="B419" s="19"/>
    </row>
    <row r="420" spans="1:2" ht="17.25" x14ac:dyDescent="0.15">
      <c r="A420" s="19"/>
      <c r="B420" s="19"/>
    </row>
    <row r="421" spans="1:2" ht="17.25" x14ac:dyDescent="0.15">
      <c r="A421" s="19"/>
      <c r="B421" s="19"/>
    </row>
    <row r="422" spans="1:2" ht="17.25" x14ac:dyDescent="0.15">
      <c r="A422" s="19"/>
      <c r="B422" s="19"/>
    </row>
    <row r="423" spans="1:2" ht="17.25" x14ac:dyDescent="0.15">
      <c r="A423" s="19"/>
      <c r="B423" s="19"/>
    </row>
    <row r="424" spans="1:2" ht="17.25" x14ac:dyDescent="0.15">
      <c r="A424" s="19"/>
      <c r="B424" s="19"/>
    </row>
    <row r="425" spans="1:2" ht="17.25" x14ac:dyDescent="0.15">
      <c r="A425" s="19"/>
      <c r="B425" s="19"/>
    </row>
    <row r="426" spans="1:2" ht="17.25" x14ac:dyDescent="0.15">
      <c r="A426" s="19"/>
      <c r="B426" s="19"/>
    </row>
    <row r="427" spans="1:2" ht="17.25" x14ac:dyDescent="0.15">
      <c r="A427" s="19"/>
      <c r="B427" s="19"/>
    </row>
    <row r="428" spans="1:2" ht="17.25" x14ac:dyDescent="0.15">
      <c r="A428" s="19"/>
      <c r="B428" s="19"/>
    </row>
    <row r="429" spans="1:2" ht="17.25" x14ac:dyDescent="0.15">
      <c r="A429" s="19"/>
      <c r="B429" s="19"/>
    </row>
    <row r="430" spans="1:2" ht="17.25" x14ac:dyDescent="0.15">
      <c r="A430" s="19"/>
      <c r="B430" s="19"/>
    </row>
    <row r="431" spans="1:2" ht="17.25" x14ac:dyDescent="0.15">
      <c r="A431" s="19"/>
      <c r="B431" s="19"/>
    </row>
    <row r="432" spans="1:2" ht="17.25" x14ac:dyDescent="0.15">
      <c r="A432" s="19"/>
      <c r="B432" s="19"/>
    </row>
    <row r="433" spans="1:2" ht="17.25" x14ac:dyDescent="0.15">
      <c r="A433" s="19"/>
      <c r="B433" s="19"/>
    </row>
    <row r="434" spans="1:2" ht="17.25" x14ac:dyDescent="0.15">
      <c r="A434" s="19"/>
      <c r="B434" s="19"/>
    </row>
    <row r="435" spans="1:2" ht="17.25" x14ac:dyDescent="0.15">
      <c r="A435" s="19"/>
      <c r="B435" s="19"/>
    </row>
    <row r="436" spans="1:2" ht="17.25" x14ac:dyDescent="0.15">
      <c r="A436" s="19"/>
      <c r="B436" s="19"/>
    </row>
    <row r="437" spans="1:2" ht="17.25" x14ac:dyDescent="0.15">
      <c r="A437" s="19"/>
      <c r="B437" s="19"/>
    </row>
    <row r="438" spans="1:2" ht="17.25" x14ac:dyDescent="0.15">
      <c r="A438" s="19"/>
      <c r="B438" s="19"/>
    </row>
    <row r="439" spans="1:2" ht="17.25" x14ac:dyDescent="0.15">
      <c r="A439" s="19"/>
      <c r="B439" s="19"/>
    </row>
    <row r="440" spans="1:2" ht="17.25" x14ac:dyDescent="0.15">
      <c r="A440" s="19"/>
      <c r="B440" s="19"/>
    </row>
    <row r="441" spans="1:2" ht="17.25" x14ac:dyDescent="0.15">
      <c r="A441" s="19"/>
      <c r="B441" s="19"/>
    </row>
    <row r="442" spans="1:2" ht="17.25" x14ac:dyDescent="0.15">
      <c r="A442" s="19"/>
      <c r="B442" s="19"/>
    </row>
    <row r="443" spans="1:2" ht="17.25" x14ac:dyDescent="0.15">
      <c r="A443" s="19"/>
      <c r="B443" s="19"/>
    </row>
    <row r="444" spans="1:2" ht="17.25" x14ac:dyDescent="0.15">
      <c r="A444" s="19"/>
      <c r="B444" s="19"/>
    </row>
    <row r="445" spans="1:2" ht="17.25" x14ac:dyDescent="0.15">
      <c r="A445" s="19"/>
      <c r="B445" s="19"/>
    </row>
    <row r="446" spans="1:2" ht="17.25" x14ac:dyDescent="0.15">
      <c r="A446" s="19"/>
      <c r="B446" s="19"/>
    </row>
    <row r="447" spans="1:2" ht="17.25" x14ac:dyDescent="0.15">
      <c r="A447" s="19"/>
      <c r="B447" s="19"/>
    </row>
    <row r="448" spans="1:2" ht="17.25" x14ac:dyDescent="0.15">
      <c r="A448" s="19"/>
      <c r="B448" s="19"/>
    </row>
    <row r="449" spans="1:2" ht="17.25" x14ac:dyDescent="0.15">
      <c r="A449" s="19"/>
      <c r="B449" s="19"/>
    </row>
    <row r="450" spans="1:2" ht="17.25" x14ac:dyDescent="0.15">
      <c r="A450" s="19"/>
      <c r="B450" s="19"/>
    </row>
    <row r="451" spans="1:2" ht="17.25" x14ac:dyDescent="0.15">
      <c r="A451" s="19"/>
      <c r="B451" s="19"/>
    </row>
    <row r="452" spans="1:2" ht="17.25" x14ac:dyDescent="0.15">
      <c r="A452" s="19"/>
      <c r="B452" s="19"/>
    </row>
    <row r="453" spans="1:2" ht="17.25" x14ac:dyDescent="0.15">
      <c r="A453" s="19"/>
      <c r="B453" s="19"/>
    </row>
    <row r="454" spans="1:2" ht="17.25" x14ac:dyDescent="0.15">
      <c r="A454" s="19"/>
      <c r="B454" s="19"/>
    </row>
    <row r="455" spans="1:2" ht="17.25" x14ac:dyDescent="0.15">
      <c r="A455" s="19"/>
      <c r="B455" s="19"/>
    </row>
    <row r="456" spans="1:2" ht="17.25" x14ac:dyDescent="0.15">
      <c r="A456" s="19"/>
      <c r="B456" s="19"/>
    </row>
    <row r="457" spans="1:2" ht="17.25" x14ac:dyDescent="0.15">
      <c r="A457" s="19"/>
      <c r="B457" s="19"/>
    </row>
    <row r="458" spans="1:2" ht="17.25" x14ac:dyDescent="0.15">
      <c r="A458" s="19"/>
      <c r="B458" s="19"/>
    </row>
    <row r="459" spans="1:2" ht="17.25" x14ac:dyDescent="0.15">
      <c r="A459" s="19"/>
      <c r="B459" s="19"/>
    </row>
    <row r="460" spans="1:2" ht="17.25" x14ac:dyDescent="0.15">
      <c r="A460" s="19"/>
      <c r="B460" s="19"/>
    </row>
    <row r="461" spans="1:2" ht="17.25" x14ac:dyDescent="0.15">
      <c r="A461" s="19"/>
      <c r="B461" s="19"/>
    </row>
    <row r="462" spans="1:2" ht="17.25" x14ac:dyDescent="0.15">
      <c r="A462" s="19"/>
      <c r="B462" s="19"/>
    </row>
    <row r="463" spans="1:2" ht="17.25" x14ac:dyDescent="0.15">
      <c r="A463" s="19"/>
      <c r="B463" s="19"/>
    </row>
    <row r="464" spans="1:2" ht="17.25" x14ac:dyDescent="0.15">
      <c r="A464" s="19"/>
      <c r="B464" s="19"/>
    </row>
    <row r="465" spans="1:2" ht="17.25" x14ac:dyDescent="0.15">
      <c r="A465" s="19"/>
      <c r="B465" s="19"/>
    </row>
    <row r="466" spans="1:2" ht="17.25" x14ac:dyDescent="0.15">
      <c r="A466" s="19"/>
      <c r="B466" s="19"/>
    </row>
    <row r="467" spans="1:2" ht="17.25" x14ac:dyDescent="0.15">
      <c r="A467" s="19"/>
      <c r="B467" s="19"/>
    </row>
    <row r="468" spans="1:2" ht="17.25" x14ac:dyDescent="0.15">
      <c r="A468" s="19"/>
      <c r="B468" s="19"/>
    </row>
    <row r="469" spans="1:2" ht="17.25" x14ac:dyDescent="0.15">
      <c r="A469" s="19"/>
      <c r="B469" s="19"/>
    </row>
    <row r="470" spans="1:2" ht="17.25" x14ac:dyDescent="0.15">
      <c r="A470" s="19"/>
      <c r="B470" s="19"/>
    </row>
    <row r="471" spans="1:2" ht="17.25" x14ac:dyDescent="0.15">
      <c r="A471" s="19"/>
      <c r="B471" s="19"/>
    </row>
    <row r="472" spans="1:2" ht="17.25" x14ac:dyDescent="0.15">
      <c r="A472" s="19"/>
      <c r="B472" s="19"/>
    </row>
    <row r="473" spans="1:2" ht="17.25" x14ac:dyDescent="0.15">
      <c r="A473" s="19"/>
      <c r="B473" s="19"/>
    </row>
    <row r="474" spans="1:2" ht="17.25" x14ac:dyDescent="0.15">
      <c r="A474" s="19"/>
      <c r="B474" s="19"/>
    </row>
    <row r="475" spans="1:2" ht="17.25" x14ac:dyDescent="0.15">
      <c r="A475" s="19"/>
      <c r="B475" s="19"/>
    </row>
    <row r="476" spans="1:2" ht="17.25" x14ac:dyDescent="0.15">
      <c r="A476" s="19"/>
      <c r="B476" s="19"/>
    </row>
    <row r="477" spans="1:2" ht="17.25" x14ac:dyDescent="0.15">
      <c r="A477" s="19"/>
      <c r="B477" s="19"/>
    </row>
    <row r="478" spans="1:2" ht="17.25" x14ac:dyDescent="0.15">
      <c r="A478" s="19"/>
      <c r="B478" s="19"/>
    </row>
    <row r="479" spans="1:2" ht="17.25" x14ac:dyDescent="0.15">
      <c r="A479" s="19"/>
      <c r="B479" s="19"/>
    </row>
    <row r="480" spans="1:2" ht="17.25" x14ac:dyDescent="0.15">
      <c r="A480" s="19"/>
      <c r="B480" s="19"/>
    </row>
    <row r="481" spans="1:2" ht="17.25" x14ac:dyDescent="0.15">
      <c r="A481" s="19"/>
      <c r="B481" s="19"/>
    </row>
    <row r="482" spans="1:2" ht="17.25" x14ac:dyDescent="0.15">
      <c r="A482" s="19"/>
      <c r="B482" s="19"/>
    </row>
    <row r="483" spans="1:2" ht="17.25" x14ac:dyDescent="0.15">
      <c r="A483" s="19"/>
      <c r="B483" s="19"/>
    </row>
    <row r="484" spans="1:2" ht="17.25" x14ac:dyDescent="0.15">
      <c r="A484" s="19"/>
      <c r="B484" s="19"/>
    </row>
    <row r="485" spans="1:2" ht="17.25" x14ac:dyDescent="0.15">
      <c r="A485" s="19"/>
      <c r="B485" s="19"/>
    </row>
    <row r="486" spans="1:2" ht="17.25" x14ac:dyDescent="0.15">
      <c r="A486" s="19"/>
      <c r="B486" s="19"/>
    </row>
    <row r="487" spans="1:2" ht="17.25" x14ac:dyDescent="0.15">
      <c r="A487" s="19"/>
      <c r="B487" s="19"/>
    </row>
    <row r="488" spans="1:2" ht="17.25" x14ac:dyDescent="0.15">
      <c r="A488" s="19"/>
      <c r="B488" s="19"/>
    </row>
    <row r="489" spans="1:2" ht="17.25" x14ac:dyDescent="0.15">
      <c r="A489" s="19"/>
      <c r="B489" s="19"/>
    </row>
    <row r="490" spans="1:2" ht="17.25" x14ac:dyDescent="0.15">
      <c r="A490" s="19"/>
      <c r="B490" s="19"/>
    </row>
    <row r="491" spans="1:2" ht="17.25" x14ac:dyDescent="0.15">
      <c r="A491" s="19"/>
      <c r="B491" s="19"/>
    </row>
    <row r="492" spans="1:2" ht="17.25" x14ac:dyDescent="0.15">
      <c r="A492" s="19"/>
      <c r="B492" s="19"/>
    </row>
    <row r="493" spans="1:2" ht="17.25" x14ac:dyDescent="0.15">
      <c r="A493" s="19"/>
      <c r="B493" s="19"/>
    </row>
    <row r="494" spans="1:2" ht="17.25" x14ac:dyDescent="0.15">
      <c r="A494" s="19"/>
      <c r="B494" s="19"/>
    </row>
    <row r="495" spans="1:2" ht="17.25" x14ac:dyDescent="0.15">
      <c r="A495" s="19"/>
      <c r="B495" s="19"/>
    </row>
    <row r="496" spans="1:2" ht="17.25" x14ac:dyDescent="0.15">
      <c r="A496" s="19"/>
      <c r="B496" s="19"/>
    </row>
    <row r="497" spans="1:2" ht="17.25" x14ac:dyDescent="0.15">
      <c r="A497" s="19"/>
      <c r="B497" s="19"/>
    </row>
    <row r="498" spans="1:2" ht="17.25" x14ac:dyDescent="0.15">
      <c r="A498" s="19"/>
      <c r="B498" s="19"/>
    </row>
    <row r="499" spans="1:2" ht="17.25" x14ac:dyDescent="0.15">
      <c r="A499" s="19"/>
      <c r="B499" s="19"/>
    </row>
    <row r="500" spans="1:2" ht="17.25" x14ac:dyDescent="0.15">
      <c r="A500" s="19"/>
      <c r="B500" s="19"/>
    </row>
    <row r="501" spans="1:2" ht="17.25" x14ac:dyDescent="0.15">
      <c r="A501" s="19"/>
      <c r="B501" s="19"/>
    </row>
    <row r="502" spans="1:2" ht="17.25" x14ac:dyDescent="0.15">
      <c r="A502" s="19"/>
      <c r="B502" s="19"/>
    </row>
    <row r="503" spans="1:2" ht="17.25" x14ac:dyDescent="0.15">
      <c r="A503" s="19"/>
      <c r="B503" s="19"/>
    </row>
    <row r="504" spans="1:2" ht="17.25" x14ac:dyDescent="0.15">
      <c r="A504" s="19"/>
      <c r="B504" s="19"/>
    </row>
    <row r="505" spans="1:2" ht="17.25" x14ac:dyDescent="0.15">
      <c r="A505" s="19"/>
      <c r="B505" s="19"/>
    </row>
    <row r="506" spans="1:2" ht="17.25" x14ac:dyDescent="0.15">
      <c r="A506" s="19"/>
      <c r="B506" s="19"/>
    </row>
    <row r="507" spans="1:2" ht="17.25" x14ac:dyDescent="0.15">
      <c r="A507" s="19"/>
      <c r="B507" s="19"/>
    </row>
    <row r="508" spans="1:2" ht="17.25" x14ac:dyDescent="0.15">
      <c r="A508" s="19"/>
      <c r="B508" s="19"/>
    </row>
    <row r="509" spans="1:2" ht="17.25" x14ac:dyDescent="0.15">
      <c r="A509" s="19"/>
      <c r="B509" s="19"/>
    </row>
    <row r="510" spans="1:2" ht="17.25" x14ac:dyDescent="0.15">
      <c r="A510" s="19"/>
      <c r="B510" s="19"/>
    </row>
    <row r="511" spans="1:2" ht="17.25" x14ac:dyDescent="0.15">
      <c r="A511" s="19"/>
      <c r="B511" s="19"/>
    </row>
    <row r="512" spans="1:2" ht="17.25" x14ac:dyDescent="0.15">
      <c r="A512" s="19"/>
      <c r="B512" s="19"/>
    </row>
    <row r="513" spans="1:2" ht="17.25" x14ac:dyDescent="0.15">
      <c r="A513" s="19"/>
      <c r="B513" s="19"/>
    </row>
    <row r="514" spans="1:2" ht="17.25" x14ac:dyDescent="0.15">
      <c r="A514" s="19"/>
      <c r="B514" s="19"/>
    </row>
    <row r="515" spans="1:2" ht="17.25" x14ac:dyDescent="0.15">
      <c r="A515" s="19"/>
      <c r="B515" s="19"/>
    </row>
    <row r="516" spans="1:2" ht="17.25" x14ac:dyDescent="0.15">
      <c r="A516" s="19"/>
      <c r="B516" s="19"/>
    </row>
    <row r="517" spans="1:2" ht="17.25" x14ac:dyDescent="0.15">
      <c r="A517" s="19"/>
      <c r="B517" s="19"/>
    </row>
    <row r="518" spans="1:2" ht="17.25" x14ac:dyDescent="0.15">
      <c r="A518" s="19"/>
      <c r="B518" s="19"/>
    </row>
    <row r="519" spans="1:2" ht="17.25" x14ac:dyDescent="0.15">
      <c r="A519" s="19"/>
      <c r="B519" s="19"/>
    </row>
    <row r="520" spans="1:2" ht="17.25" x14ac:dyDescent="0.15">
      <c r="A520" s="19"/>
      <c r="B520" s="19"/>
    </row>
    <row r="521" spans="1:2" ht="17.25" x14ac:dyDescent="0.15">
      <c r="A521" s="19"/>
      <c r="B521" s="19"/>
    </row>
    <row r="522" spans="1:2" ht="17.25" x14ac:dyDescent="0.15">
      <c r="A522" s="19"/>
      <c r="B522" s="19"/>
    </row>
    <row r="523" spans="1:2" ht="17.25" x14ac:dyDescent="0.15">
      <c r="A523" s="19"/>
      <c r="B523" s="19"/>
    </row>
    <row r="524" spans="1:2" ht="17.25" x14ac:dyDescent="0.15">
      <c r="A524" s="19"/>
      <c r="B524" s="19"/>
    </row>
    <row r="525" spans="1:2" ht="17.25" x14ac:dyDescent="0.15">
      <c r="A525" s="19"/>
      <c r="B525" s="19"/>
    </row>
    <row r="526" spans="1:2" ht="17.25" x14ac:dyDescent="0.15">
      <c r="A526" s="19"/>
      <c r="B526" s="19"/>
    </row>
    <row r="527" spans="1:2" ht="17.25" x14ac:dyDescent="0.15">
      <c r="A527" s="19"/>
      <c r="B527" s="19"/>
    </row>
    <row r="528" spans="1:2" ht="17.25" x14ac:dyDescent="0.15">
      <c r="A528" s="19"/>
      <c r="B528" s="19"/>
    </row>
    <row r="529" spans="1:2" ht="17.25" x14ac:dyDescent="0.15">
      <c r="A529" s="19"/>
      <c r="B529" s="19"/>
    </row>
    <row r="530" spans="1:2" ht="17.25" x14ac:dyDescent="0.15">
      <c r="A530" s="19"/>
      <c r="B530" s="19"/>
    </row>
    <row r="531" spans="1:2" ht="17.25" x14ac:dyDescent="0.15">
      <c r="A531" s="19"/>
      <c r="B531" s="19"/>
    </row>
    <row r="532" spans="1:2" ht="17.25" x14ac:dyDescent="0.15">
      <c r="A532" s="19"/>
      <c r="B532" s="19"/>
    </row>
    <row r="533" spans="1:2" ht="17.25" x14ac:dyDescent="0.15">
      <c r="A533" s="19"/>
      <c r="B533" s="19"/>
    </row>
    <row r="534" spans="1:2" ht="17.25" x14ac:dyDescent="0.15">
      <c r="A534" s="19"/>
      <c r="B534" s="19"/>
    </row>
    <row r="535" spans="1:2" ht="17.25" x14ac:dyDescent="0.15">
      <c r="A535" s="19"/>
      <c r="B535" s="19"/>
    </row>
    <row r="536" spans="1:2" ht="17.25" x14ac:dyDescent="0.15">
      <c r="A536" s="19"/>
      <c r="B536" s="19"/>
    </row>
    <row r="537" spans="1:2" ht="17.25" x14ac:dyDescent="0.15">
      <c r="A537" s="19"/>
      <c r="B537" s="19"/>
    </row>
    <row r="538" spans="1:2" ht="17.25" x14ac:dyDescent="0.15">
      <c r="A538" s="19"/>
      <c r="B538" s="19"/>
    </row>
    <row r="539" spans="1:2" ht="17.25" x14ac:dyDescent="0.15">
      <c r="A539" s="19"/>
      <c r="B539" s="19"/>
    </row>
    <row r="540" spans="1:2" ht="17.25" x14ac:dyDescent="0.15">
      <c r="A540" s="19"/>
      <c r="B540" s="19"/>
    </row>
    <row r="541" spans="1:2" ht="17.25" x14ac:dyDescent="0.15">
      <c r="A541" s="19"/>
      <c r="B541" s="19"/>
    </row>
    <row r="542" spans="1:2" ht="17.25" x14ac:dyDescent="0.15">
      <c r="A542" s="19"/>
      <c r="B542" s="19"/>
    </row>
    <row r="543" spans="1:2" ht="17.25" x14ac:dyDescent="0.15">
      <c r="A543" s="19"/>
      <c r="B543" s="19"/>
    </row>
    <row r="544" spans="1:2" ht="17.25" x14ac:dyDescent="0.15">
      <c r="A544" s="19"/>
      <c r="B544" s="19"/>
    </row>
    <row r="545" spans="1:2" ht="17.25" x14ac:dyDescent="0.15">
      <c r="A545" s="19"/>
      <c r="B545" s="19"/>
    </row>
    <row r="546" spans="1:2" ht="17.25" x14ac:dyDescent="0.15">
      <c r="A546" s="19"/>
      <c r="B546" s="19"/>
    </row>
    <row r="547" spans="1:2" ht="17.25" x14ac:dyDescent="0.15">
      <c r="A547" s="19"/>
      <c r="B547" s="19"/>
    </row>
    <row r="548" spans="1:2" ht="17.25" x14ac:dyDescent="0.15">
      <c r="A548" s="19"/>
      <c r="B548" s="19"/>
    </row>
    <row r="549" spans="1:2" ht="17.25" x14ac:dyDescent="0.15">
      <c r="A549" s="19"/>
      <c r="B549" s="19"/>
    </row>
    <row r="550" spans="1:2" ht="17.25" x14ac:dyDescent="0.15">
      <c r="A550" s="19"/>
      <c r="B550" s="19"/>
    </row>
    <row r="551" spans="1:2" ht="17.25" x14ac:dyDescent="0.15">
      <c r="A551" s="19"/>
      <c r="B551" s="19"/>
    </row>
    <row r="552" spans="1:2" ht="17.25" x14ac:dyDescent="0.15">
      <c r="A552" s="19"/>
      <c r="B552" s="19"/>
    </row>
    <row r="553" spans="1:2" ht="17.25" x14ac:dyDescent="0.15">
      <c r="A553" s="19"/>
      <c r="B553" s="19"/>
    </row>
    <row r="554" spans="1:2" ht="17.25" x14ac:dyDescent="0.15">
      <c r="A554" s="19"/>
      <c r="B554" s="19"/>
    </row>
    <row r="555" spans="1:2" ht="17.25" x14ac:dyDescent="0.15">
      <c r="A555" s="19"/>
      <c r="B555" s="19"/>
    </row>
    <row r="556" spans="1:2" ht="17.25" x14ac:dyDescent="0.15">
      <c r="A556" s="19"/>
      <c r="B556" s="19"/>
    </row>
    <row r="557" spans="1:2" ht="17.25" x14ac:dyDescent="0.15">
      <c r="A557" s="19"/>
      <c r="B557" s="19"/>
    </row>
    <row r="558" spans="1:2" ht="17.25" x14ac:dyDescent="0.15">
      <c r="A558" s="19"/>
      <c r="B558" s="19"/>
    </row>
    <row r="559" spans="1:2" ht="17.25" x14ac:dyDescent="0.15">
      <c r="A559" s="19"/>
      <c r="B559" s="19"/>
    </row>
    <row r="560" spans="1:2" ht="17.25" x14ac:dyDescent="0.15">
      <c r="A560" s="19"/>
      <c r="B560" s="19"/>
    </row>
    <row r="561" spans="1:2" ht="17.25" x14ac:dyDescent="0.15">
      <c r="A561" s="19"/>
      <c r="B561" s="19"/>
    </row>
    <row r="562" spans="1:2" ht="17.25" x14ac:dyDescent="0.15">
      <c r="A562" s="19"/>
      <c r="B562" s="19"/>
    </row>
    <row r="563" spans="1:2" ht="17.25" x14ac:dyDescent="0.15">
      <c r="A563" s="19"/>
      <c r="B563" s="19"/>
    </row>
    <row r="564" spans="1:2" ht="17.25" x14ac:dyDescent="0.15">
      <c r="A564" s="19"/>
      <c r="B564" s="19"/>
    </row>
    <row r="565" spans="1:2" ht="17.25" x14ac:dyDescent="0.15">
      <c r="A565" s="19"/>
      <c r="B565" s="19"/>
    </row>
    <row r="566" spans="1:2" ht="17.25" x14ac:dyDescent="0.15">
      <c r="A566" s="19"/>
      <c r="B566" s="19"/>
    </row>
    <row r="567" spans="1:2" ht="17.25" x14ac:dyDescent="0.15">
      <c r="A567" s="19"/>
      <c r="B567" s="19"/>
    </row>
    <row r="568" spans="1:2" ht="17.25" x14ac:dyDescent="0.15">
      <c r="A568" s="19"/>
      <c r="B568" s="19"/>
    </row>
    <row r="569" spans="1:2" ht="17.25" x14ac:dyDescent="0.15">
      <c r="A569" s="19"/>
      <c r="B569" s="19"/>
    </row>
    <row r="570" spans="1:2" ht="17.25" x14ac:dyDescent="0.15">
      <c r="A570" s="19"/>
      <c r="B570" s="19"/>
    </row>
    <row r="571" spans="1:2" ht="17.25" x14ac:dyDescent="0.15">
      <c r="A571" s="19"/>
      <c r="B571" s="19"/>
    </row>
    <row r="572" spans="1:2" ht="17.25" x14ac:dyDescent="0.15">
      <c r="A572" s="19"/>
      <c r="B572" s="19"/>
    </row>
    <row r="573" spans="1:2" ht="17.25" x14ac:dyDescent="0.15">
      <c r="A573" s="19"/>
      <c r="B573" s="19"/>
    </row>
    <row r="574" spans="1:2" ht="17.25" x14ac:dyDescent="0.15">
      <c r="A574" s="19"/>
      <c r="B574" s="19"/>
    </row>
    <row r="575" spans="1:2" ht="17.25" x14ac:dyDescent="0.15">
      <c r="A575" s="19"/>
      <c r="B575" s="19"/>
    </row>
    <row r="576" spans="1:2" ht="17.25" x14ac:dyDescent="0.15">
      <c r="A576" s="19"/>
      <c r="B576" s="19"/>
    </row>
    <row r="577" spans="1:2" ht="17.25" x14ac:dyDescent="0.15">
      <c r="A577" s="19"/>
      <c r="B577" s="19"/>
    </row>
    <row r="578" spans="1:2" ht="17.25" x14ac:dyDescent="0.15">
      <c r="A578" s="19"/>
      <c r="B578" s="19"/>
    </row>
    <row r="579" spans="1:2" ht="17.25" x14ac:dyDescent="0.15">
      <c r="A579" s="19"/>
      <c r="B579" s="19"/>
    </row>
    <row r="580" spans="1:2" ht="17.25" x14ac:dyDescent="0.15">
      <c r="A580" s="19"/>
      <c r="B580" s="19"/>
    </row>
    <row r="581" spans="1:2" ht="17.25" x14ac:dyDescent="0.15">
      <c r="A581" s="19"/>
      <c r="B581" s="19"/>
    </row>
    <row r="582" spans="1:2" ht="17.25" x14ac:dyDescent="0.15">
      <c r="A582" s="19"/>
      <c r="B582" s="19"/>
    </row>
    <row r="583" spans="1:2" ht="17.25" x14ac:dyDescent="0.15">
      <c r="A583" s="19"/>
      <c r="B583" s="19"/>
    </row>
    <row r="584" spans="1:2" ht="17.25" x14ac:dyDescent="0.15">
      <c r="A584" s="19"/>
      <c r="B584" s="19"/>
    </row>
    <row r="585" spans="1:2" ht="17.25" x14ac:dyDescent="0.15">
      <c r="A585" s="19"/>
      <c r="B585" s="19"/>
    </row>
    <row r="586" spans="1:2" ht="17.25" x14ac:dyDescent="0.15">
      <c r="A586" s="19"/>
      <c r="B586" s="19"/>
    </row>
    <row r="587" spans="1:2" ht="17.25" x14ac:dyDescent="0.15">
      <c r="A587" s="19"/>
      <c r="B587" s="19"/>
    </row>
    <row r="588" spans="1:2" ht="17.25" x14ac:dyDescent="0.15">
      <c r="A588" s="19"/>
      <c r="B588" s="19"/>
    </row>
    <row r="589" spans="1:2" ht="17.25" x14ac:dyDescent="0.15">
      <c r="A589" s="19"/>
      <c r="B589" s="19"/>
    </row>
    <row r="590" spans="1:2" ht="17.25" x14ac:dyDescent="0.15">
      <c r="A590" s="19"/>
      <c r="B590" s="19"/>
    </row>
    <row r="591" spans="1:2" ht="17.25" x14ac:dyDescent="0.15">
      <c r="A591" s="19"/>
      <c r="B591" s="19"/>
    </row>
    <row r="592" spans="1:2" ht="17.25" x14ac:dyDescent="0.15">
      <c r="A592" s="19"/>
      <c r="B592" s="19"/>
    </row>
    <row r="593" spans="1:2" ht="17.25" x14ac:dyDescent="0.15">
      <c r="A593" s="19"/>
      <c r="B593" s="19"/>
    </row>
    <row r="594" spans="1:2" ht="17.25" x14ac:dyDescent="0.15">
      <c r="A594" s="19"/>
      <c r="B594" s="19"/>
    </row>
    <row r="595" spans="1:2" ht="17.25" x14ac:dyDescent="0.15">
      <c r="A595" s="19"/>
      <c r="B595" s="19"/>
    </row>
    <row r="596" spans="1:2" ht="17.25" x14ac:dyDescent="0.15">
      <c r="A596" s="19"/>
      <c r="B596" s="19"/>
    </row>
    <row r="597" spans="1:2" ht="17.25" x14ac:dyDescent="0.15">
      <c r="A597" s="19"/>
      <c r="B597" s="19"/>
    </row>
    <row r="598" spans="1:2" ht="17.25" x14ac:dyDescent="0.15">
      <c r="A598" s="19"/>
      <c r="B598" s="19"/>
    </row>
    <row r="599" spans="1:2" ht="17.25" x14ac:dyDescent="0.15">
      <c r="A599" s="19"/>
      <c r="B599" s="19"/>
    </row>
    <row r="600" spans="1:2" ht="17.25" x14ac:dyDescent="0.15">
      <c r="A600" s="19"/>
      <c r="B600" s="19"/>
    </row>
    <row r="601" spans="1:2" ht="17.25" x14ac:dyDescent="0.15">
      <c r="A601" s="19"/>
      <c r="B601" s="19"/>
    </row>
    <row r="602" spans="1:2" ht="17.25" x14ac:dyDescent="0.15">
      <c r="A602" s="19"/>
      <c r="B602" s="19"/>
    </row>
    <row r="603" spans="1:2" ht="17.25" x14ac:dyDescent="0.15">
      <c r="A603" s="19"/>
      <c r="B603" s="19"/>
    </row>
    <row r="604" spans="1:2" ht="17.25" x14ac:dyDescent="0.15">
      <c r="A604" s="19"/>
      <c r="B604" s="19"/>
    </row>
    <row r="605" spans="1:2" ht="17.25" x14ac:dyDescent="0.15">
      <c r="A605" s="19"/>
      <c r="B605" s="19"/>
    </row>
    <row r="606" spans="1:2" ht="17.25" x14ac:dyDescent="0.15">
      <c r="A606" s="19"/>
      <c r="B606" s="19"/>
    </row>
    <row r="607" spans="1:2" ht="17.25" x14ac:dyDescent="0.15">
      <c r="A607" s="19"/>
      <c r="B607" s="19"/>
    </row>
    <row r="608" spans="1:2" ht="17.25" x14ac:dyDescent="0.15">
      <c r="A608" s="19"/>
      <c r="B608" s="19"/>
    </row>
    <row r="609" spans="1:2" ht="17.25" x14ac:dyDescent="0.15">
      <c r="A609" s="19"/>
      <c r="B609" s="19"/>
    </row>
    <row r="610" spans="1:2" ht="17.25" x14ac:dyDescent="0.15">
      <c r="A610" s="19"/>
      <c r="B610" s="19"/>
    </row>
    <row r="611" spans="1:2" ht="17.25" x14ac:dyDescent="0.15">
      <c r="A611" s="19"/>
      <c r="B611" s="19"/>
    </row>
    <row r="612" spans="1:2" ht="17.25" x14ac:dyDescent="0.15">
      <c r="A612" s="19"/>
      <c r="B612" s="19"/>
    </row>
    <row r="613" spans="1:2" ht="17.25" x14ac:dyDescent="0.15">
      <c r="A613" s="19"/>
      <c r="B613" s="19"/>
    </row>
    <row r="614" spans="1:2" ht="17.25" x14ac:dyDescent="0.15">
      <c r="A614" s="19"/>
      <c r="B614" s="19"/>
    </row>
    <row r="615" spans="1:2" ht="17.25" x14ac:dyDescent="0.15">
      <c r="A615" s="19"/>
      <c r="B615" s="19"/>
    </row>
    <row r="616" spans="1:2" ht="17.25" x14ac:dyDescent="0.15">
      <c r="A616" s="19"/>
      <c r="B616" s="19"/>
    </row>
    <row r="617" spans="1:2" ht="17.25" x14ac:dyDescent="0.15">
      <c r="A617" s="19"/>
      <c r="B617" s="19"/>
    </row>
    <row r="618" spans="1:2" ht="17.25" x14ac:dyDescent="0.15">
      <c r="A618" s="19"/>
      <c r="B618" s="19"/>
    </row>
    <row r="619" spans="1:2" ht="17.25" x14ac:dyDescent="0.15">
      <c r="A619" s="19"/>
      <c r="B619" s="19"/>
    </row>
    <row r="620" spans="1:2" ht="17.25" x14ac:dyDescent="0.15">
      <c r="A620" s="19"/>
      <c r="B620" s="19"/>
    </row>
    <row r="621" spans="1:2" ht="17.25" x14ac:dyDescent="0.15">
      <c r="A621" s="19"/>
      <c r="B621" s="19"/>
    </row>
    <row r="622" spans="1:2" ht="17.25" x14ac:dyDescent="0.15">
      <c r="A622" s="19"/>
      <c r="B622" s="19"/>
    </row>
    <row r="623" spans="1:2" ht="17.25" x14ac:dyDescent="0.15">
      <c r="A623" s="19"/>
      <c r="B623" s="19"/>
    </row>
    <row r="624" spans="1:2" ht="17.25" x14ac:dyDescent="0.15">
      <c r="A624" s="19"/>
      <c r="B624" s="19"/>
    </row>
    <row r="625" spans="1:2" ht="17.25" x14ac:dyDescent="0.15">
      <c r="A625" s="19"/>
      <c r="B625" s="19"/>
    </row>
    <row r="626" spans="1:2" ht="17.25" x14ac:dyDescent="0.15">
      <c r="A626" s="19"/>
      <c r="B626" s="19"/>
    </row>
    <row r="627" spans="1:2" ht="17.25" x14ac:dyDescent="0.15">
      <c r="A627" s="19"/>
      <c r="B627" s="19"/>
    </row>
    <row r="628" spans="1:2" ht="17.25" x14ac:dyDescent="0.15">
      <c r="A628" s="19"/>
      <c r="B628" s="19"/>
    </row>
    <row r="629" spans="1:2" ht="17.25" x14ac:dyDescent="0.15">
      <c r="A629" s="19"/>
      <c r="B629" s="19"/>
    </row>
    <row r="630" spans="1:2" ht="17.25" x14ac:dyDescent="0.15">
      <c r="A630" s="19"/>
      <c r="B630" s="19"/>
    </row>
    <row r="631" spans="1:2" ht="17.25" x14ac:dyDescent="0.15">
      <c r="A631" s="19"/>
      <c r="B631" s="19"/>
    </row>
    <row r="632" spans="1:2" ht="17.25" x14ac:dyDescent="0.15">
      <c r="A632" s="19"/>
      <c r="B632" s="19"/>
    </row>
    <row r="633" spans="1:2" ht="17.25" x14ac:dyDescent="0.15">
      <c r="A633" s="19"/>
      <c r="B633" s="19"/>
    </row>
    <row r="634" spans="1:2" ht="17.25" x14ac:dyDescent="0.15">
      <c r="A634" s="19"/>
      <c r="B634" s="19"/>
    </row>
    <row r="635" spans="1:2" ht="17.25" x14ac:dyDescent="0.15">
      <c r="A635" s="19"/>
      <c r="B635" s="19"/>
    </row>
    <row r="636" spans="1:2" ht="17.25" x14ac:dyDescent="0.15">
      <c r="A636" s="19"/>
      <c r="B636" s="19"/>
    </row>
    <row r="637" spans="1:2" ht="17.25" x14ac:dyDescent="0.15">
      <c r="A637" s="19"/>
      <c r="B637" s="19"/>
    </row>
    <row r="638" spans="1:2" ht="17.25" x14ac:dyDescent="0.15">
      <c r="A638" s="19"/>
      <c r="B638" s="19"/>
    </row>
    <row r="639" spans="1:2" ht="17.25" x14ac:dyDescent="0.15">
      <c r="A639" s="19"/>
      <c r="B639" s="19"/>
    </row>
    <row r="640" spans="1:2" ht="17.25" x14ac:dyDescent="0.15">
      <c r="A640" s="19"/>
      <c r="B640" s="19"/>
    </row>
    <row r="641" spans="1:2" ht="17.25" x14ac:dyDescent="0.15">
      <c r="A641" s="19"/>
      <c r="B641" s="19"/>
    </row>
    <row r="642" spans="1:2" ht="17.25" x14ac:dyDescent="0.15">
      <c r="A642" s="19"/>
      <c r="B642" s="19"/>
    </row>
    <row r="643" spans="1:2" ht="17.25" x14ac:dyDescent="0.15">
      <c r="A643" s="19"/>
      <c r="B643" s="19"/>
    </row>
    <row r="644" spans="1:2" ht="17.25" x14ac:dyDescent="0.15">
      <c r="A644" s="19"/>
      <c r="B644" s="19"/>
    </row>
    <row r="645" spans="1:2" ht="17.25" x14ac:dyDescent="0.15">
      <c r="A645" s="19"/>
      <c r="B645" s="19"/>
    </row>
    <row r="646" spans="1:2" ht="17.25" x14ac:dyDescent="0.15">
      <c r="A646" s="19"/>
      <c r="B646" s="19"/>
    </row>
    <row r="647" spans="1:2" ht="17.25" x14ac:dyDescent="0.15">
      <c r="A647" s="19"/>
      <c r="B647" s="19"/>
    </row>
    <row r="648" spans="1:2" ht="17.25" x14ac:dyDescent="0.15">
      <c r="A648" s="19"/>
      <c r="B648" s="19"/>
    </row>
    <row r="649" spans="1:2" ht="17.25" x14ac:dyDescent="0.15">
      <c r="A649" s="19"/>
      <c r="B649" s="19"/>
    </row>
    <row r="650" spans="1:2" ht="17.25" x14ac:dyDescent="0.15">
      <c r="A650" s="19"/>
      <c r="B650" s="19"/>
    </row>
    <row r="651" spans="1:2" ht="17.25" x14ac:dyDescent="0.15">
      <c r="A651" s="19"/>
      <c r="B651" s="19"/>
    </row>
    <row r="652" spans="1:2" ht="17.25" x14ac:dyDescent="0.15">
      <c r="A652" s="19"/>
      <c r="B652" s="19"/>
    </row>
    <row r="653" spans="1:2" ht="17.25" x14ac:dyDescent="0.15">
      <c r="A653" s="19"/>
      <c r="B653" s="19"/>
    </row>
    <row r="654" spans="1:2" ht="17.25" x14ac:dyDescent="0.15">
      <c r="A654" s="19"/>
      <c r="B654" s="19"/>
    </row>
    <row r="655" spans="1:2" ht="17.25" x14ac:dyDescent="0.15">
      <c r="A655" s="19"/>
      <c r="B655" s="19"/>
    </row>
    <row r="656" spans="1:2" ht="17.25" x14ac:dyDescent="0.15">
      <c r="A656" s="19"/>
      <c r="B656" s="19"/>
    </row>
    <row r="657" spans="1:2" ht="17.25" x14ac:dyDescent="0.15">
      <c r="A657" s="19"/>
      <c r="B657" s="19"/>
    </row>
    <row r="658" spans="1:2" ht="17.25" x14ac:dyDescent="0.15">
      <c r="A658" s="19"/>
      <c r="B658" s="19"/>
    </row>
    <row r="659" spans="1:2" ht="17.25" x14ac:dyDescent="0.15">
      <c r="A659" s="19"/>
      <c r="B659" s="19"/>
    </row>
    <row r="660" spans="1:2" ht="17.25" x14ac:dyDescent="0.15">
      <c r="A660" s="19"/>
      <c r="B660" s="19"/>
    </row>
    <row r="661" spans="1:2" ht="17.25" x14ac:dyDescent="0.15">
      <c r="A661" s="19"/>
      <c r="B661" s="19"/>
    </row>
    <row r="662" spans="1:2" ht="17.25" x14ac:dyDescent="0.15">
      <c r="A662" s="19"/>
      <c r="B662" s="19"/>
    </row>
    <row r="663" spans="1:2" ht="17.25" x14ac:dyDescent="0.15">
      <c r="A663" s="19"/>
      <c r="B663" s="19"/>
    </row>
    <row r="664" spans="1:2" ht="17.25" x14ac:dyDescent="0.15">
      <c r="A664" s="19"/>
      <c r="B664" s="19"/>
    </row>
    <row r="665" spans="1:2" ht="17.25" x14ac:dyDescent="0.15">
      <c r="A665" s="19"/>
      <c r="B665" s="19"/>
    </row>
    <row r="666" spans="1:2" ht="17.25" x14ac:dyDescent="0.15">
      <c r="A666" s="19"/>
      <c r="B666" s="19"/>
    </row>
    <row r="667" spans="1:2" ht="17.25" x14ac:dyDescent="0.15">
      <c r="A667" s="19"/>
      <c r="B667" s="19"/>
    </row>
    <row r="668" spans="1:2" ht="17.25" x14ac:dyDescent="0.15">
      <c r="A668" s="19"/>
      <c r="B668" s="19"/>
    </row>
    <row r="669" spans="1:2" ht="17.25" x14ac:dyDescent="0.15">
      <c r="A669" s="19"/>
      <c r="B669" s="19"/>
    </row>
    <row r="670" spans="1:2" ht="17.25" x14ac:dyDescent="0.15">
      <c r="A670" s="19"/>
      <c r="B670" s="19"/>
    </row>
    <row r="671" spans="1:2" ht="17.25" x14ac:dyDescent="0.15">
      <c r="A671" s="19"/>
      <c r="B671" s="19"/>
    </row>
    <row r="672" spans="1:2" ht="17.25" x14ac:dyDescent="0.15">
      <c r="A672" s="19"/>
      <c r="B672" s="19"/>
    </row>
    <row r="673" spans="1:2" ht="17.25" x14ac:dyDescent="0.15">
      <c r="A673" s="19"/>
      <c r="B673" s="19"/>
    </row>
    <row r="674" spans="1:2" ht="17.25" x14ac:dyDescent="0.15">
      <c r="A674" s="19"/>
      <c r="B674" s="19"/>
    </row>
    <row r="675" spans="1:2" ht="17.25" x14ac:dyDescent="0.15">
      <c r="A675" s="19"/>
      <c r="B675" s="19"/>
    </row>
    <row r="676" spans="1:2" ht="17.25" x14ac:dyDescent="0.15">
      <c r="A676" s="19"/>
      <c r="B676" s="19"/>
    </row>
    <row r="677" spans="1:2" ht="17.25" x14ac:dyDescent="0.15">
      <c r="A677" s="19"/>
      <c r="B677" s="19"/>
    </row>
    <row r="678" spans="1:2" ht="17.25" x14ac:dyDescent="0.15">
      <c r="A678" s="19"/>
      <c r="B678" s="19"/>
    </row>
    <row r="679" spans="1:2" ht="17.25" x14ac:dyDescent="0.15">
      <c r="A679" s="19"/>
      <c r="B679" s="19"/>
    </row>
    <row r="680" spans="1:2" ht="17.25" x14ac:dyDescent="0.15">
      <c r="A680" s="19"/>
      <c r="B680" s="19"/>
    </row>
    <row r="681" spans="1:2" ht="17.25" x14ac:dyDescent="0.15">
      <c r="A681" s="19"/>
      <c r="B681" s="19"/>
    </row>
    <row r="682" spans="1:2" ht="17.25" x14ac:dyDescent="0.15">
      <c r="A682" s="19"/>
      <c r="B682" s="19"/>
    </row>
    <row r="683" spans="1:2" ht="17.25" x14ac:dyDescent="0.15">
      <c r="A683" s="19"/>
      <c r="B683" s="19"/>
    </row>
    <row r="684" spans="1:2" ht="17.25" x14ac:dyDescent="0.15">
      <c r="A684" s="19"/>
      <c r="B684" s="19"/>
    </row>
    <row r="685" spans="1:2" ht="17.25" x14ac:dyDescent="0.15">
      <c r="A685" s="19"/>
      <c r="B685" s="19"/>
    </row>
    <row r="686" spans="1:2" ht="17.25" x14ac:dyDescent="0.15">
      <c r="A686" s="19"/>
      <c r="B686" s="19"/>
    </row>
    <row r="687" spans="1:2" ht="17.25" x14ac:dyDescent="0.15">
      <c r="A687" s="19"/>
      <c r="B687" s="19"/>
    </row>
    <row r="688" spans="1:2" ht="17.25" x14ac:dyDescent="0.15">
      <c r="A688" s="19"/>
      <c r="B688" s="19"/>
    </row>
    <row r="689" spans="1:2" ht="17.25" x14ac:dyDescent="0.15">
      <c r="A689" s="19"/>
      <c r="B689" s="19"/>
    </row>
    <row r="690" spans="1:2" ht="17.25" x14ac:dyDescent="0.15">
      <c r="A690" s="19"/>
      <c r="B690" s="19"/>
    </row>
    <row r="691" spans="1:2" ht="17.25" x14ac:dyDescent="0.15">
      <c r="A691" s="19"/>
      <c r="B691" s="19"/>
    </row>
    <row r="692" spans="1:2" ht="17.25" x14ac:dyDescent="0.15">
      <c r="A692" s="19"/>
      <c r="B692" s="19"/>
    </row>
    <row r="693" spans="1:2" ht="17.25" x14ac:dyDescent="0.15">
      <c r="A693" s="19"/>
      <c r="B693" s="19"/>
    </row>
    <row r="694" spans="1:2" ht="17.25" x14ac:dyDescent="0.15">
      <c r="A694" s="19"/>
      <c r="B694" s="19"/>
    </row>
    <row r="695" spans="1:2" ht="17.25" x14ac:dyDescent="0.15">
      <c r="A695" s="19"/>
      <c r="B695" s="19"/>
    </row>
    <row r="696" spans="1:2" ht="17.25" x14ac:dyDescent="0.15">
      <c r="A696" s="19"/>
      <c r="B696" s="19"/>
    </row>
    <row r="697" spans="1:2" ht="17.25" x14ac:dyDescent="0.15">
      <c r="A697" s="19"/>
      <c r="B697" s="19"/>
    </row>
    <row r="698" spans="1:2" ht="17.25" x14ac:dyDescent="0.15">
      <c r="A698" s="19"/>
      <c r="B698" s="19"/>
    </row>
    <row r="699" spans="1:2" ht="17.25" x14ac:dyDescent="0.15">
      <c r="A699" s="19"/>
      <c r="B699" s="19"/>
    </row>
    <row r="700" spans="1:2" ht="17.25" x14ac:dyDescent="0.15">
      <c r="A700" s="19"/>
      <c r="B700" s="19"/>
    </row>
    <row r="701" spans="1:2" ht="17.25" x14ac:dyDescent="0.15">
      <c r="A701" s="19"/>
      <c r="B701" s="19"/>
    </row>
    <row r="702" spans="1:2" ht="17.25" x14ac:dyDescent="0.15">
      <c r="A702" s="19"/>
      <c r="B702" s="19"/>
    </row>
    <row r="703" spans="1:2" ht="17.25" x14ac:dyDescent="0.15">
      <c r="A703" s="19"/>
      <c r="B703" s="19"/>
    </row>
    <row r="704" spans="1:2" ht="17.25" x14ac:dyDescent="0.15">
      <c r="A704" s="19"/>
      <c r="B704" s="19"/>
    </row>
    <row r="705" spans="1:2" ht="17.25" x14ac:dyDescent="0.15">
      <c r="A705" s="19"/>
      <c r="B705" s="19"/>
    </row>
    <row r="706" spans="1:2" ht="17.25" x14ac:dyDescent="0.15">
      <c r="A706" s="19"/>
      <c r="B706" s="19"/>
    </row>
    <row r="707" spans="1:2" ht="17.25" x14ac:dyDescent="0.15">
      <c r="A707" s="19"/>
      <c r="B707" s="19"/>
    </row>
    <row r="708" spans="1:2" ht="17.25" x14ac:dyDescent="0.15">
      <c r="A708" s="19"/>
      <c r="B708" s="19"/>
    </row>
    <row r="709" spans="1:2" ht="17.25" x14ac:dyDescent="0.15">
      <c r="A709" s="19"/>
      <c r="B709" s="19"/>
    </row>
    <row r="710" spans="1:2" ht="17.25" x14ac:dyDescent="0.15">
      <c r="A710" s="19"/>
      <c r="B710" s="19"/>
    </row>
    <row r="711" spans="1:2" ht="17.25" x14ac:dyDescent="0.15">
      <c r="A711" s="19"/>
      <c r="B711" s="19"/>
    </row>
    <row r="712" spans="1:2" ht="17.25" x14ac:dyDescent="0.15">
      <c r="A712" s="19"/>
      <c r="B712" s="19"/>
    </row>
    <row r="713" spans="1:2" ht="17.25" x14ac:dyDescent="0.15">
      <c r="A713" s="19"/>
      <c r="B713" s="19"/>
    </row>
    <row r="714" spans="1:2" ht="17.25" x14ac:dyDescent="0.15">
      <c r="A714" s="19"/>
      <c r="B714" s="19"/>
    </row>
    <row r="715" spans="1:2" ht="17.25" x14ac:dyDescent="0.15">
      <c r="A715" s="19"/>
      <c r="B715" s="19"/>
    </row>
    <row r="716" spans="1:2" ht="17.25" x14ac:dyDescent="0.15">
      <c r="A716" s="19"/>
      <c r="B716" s="19"/>
    </row>
    <row r="717" spans="1:2" ht="17.25" x14ac:dyDescent="0.15">
      <c r="A717" s="19"/>
      <c r="B717" s="19"/>
    </row>
    <row r="718" spans="1:2" ht="17.25" x14ac:dyDescent="0.15">
      <c r="A718" s="19"/>
      <c r="B718" s="19"/>
    </row>
    <row r="719" spans="1:2" ht="17.25" x14ac:dyDescent="0.15">
      <c r="A719" s="19"/>
      <c r="B719" s="19"/>
    </row>
    <row r="720" spans="1:2" ht="17.25" x14ac:dyDescent="0.15">
      <c r="A720" s="19"/>
      <c r="B720" s="19"/>
    </row>
    <row r="721" spans="1:2" ht="17.25" x14ac:dyDescent="0.15">
      <c r="A721" s="19"/>
      <c r="B721" s="19"/>
    </row>
    <row r="722" spans="1:2" ht="17.25" x14ac:dyDescent="0.15">
      <c r="A722" s="19"/>
      <c r="B722" s="19"/>
    </row>
    <row r="723" spans="1:2" ht="17.25" x14ac:dyDescent="0.15">
      <c r="A723" s="19"/>
      <c r="B723" s="19"/>
    </row>
    <row r="724" spans="1:2" ht="17.25" x14ac:dyDescent="0.15">
      <c r="A724" s="19"/>
      <c r="B724" s="19"/>
    </row>
    <row r="725" spans="1:2" ht="17.25" x14ac:dyDescent="0.15">
      <c r="A725" s="19"/>
      <c r="B725" s="19"/>
    </row>
    <row r="726" spans="1:2" ht="17.25" x14ac:dyDescent="0.15">
      <c r="A726" s="19"/>
      <c r="B726" s="19"/>
    </row>
    <row r="727" spans="1:2" ht="17.25" x14ac:dyDescent="0.15">
      <c r="A727" s="19"/>
      <c r="B727" s="19"/>
    </row>
    <row r="728" spans="1:2" ht="17.25" x14ac:dyDescent="0.15">
      <c r="A728" s="19"/>
      <c r="B728" s="19"/>
    </row>
    <row r="729" spans="1:2" ht="17.25" x14ac:dyDescent="0.15">
      <c r="A729" s="19"/>
      <c r="B729" s="19"/>
    </row>
    <row r="730" spans="1:2" ht="17.25" x14ac:dyDescent="0.15">
      <c r="A730" s="19"/>
      <c r="B730" s="19"/>
    </row>
    <row r="731" spans="1:2" ht="17.25" x14ac:dyDescent="0.15">
      <c r="A731" s="19"/>
      <c r="B731" s="19"/>
    </row>
    <row r="732" spans="1:2" ht="17.25" x14ac:dyDescent="0.15">
      <c r="A732" s="19"/>
      <c r="B732" s="19"/>
    </row>
    <row r="733" spans="1:2" ht="17.25" x14ac:dyDescent="0.15">
      <c r="A733" s="19"/>
      <c r="B733" s="19"/>
    </row>
    <row r="734" spans="1:2" ht="17.25" x14ac:dyDescent="0.15">
      <c r="A734" s="19"/>
      <c r="B734" s="19"/>
    </row>
    <row r="735" spans="1:2" ht="17.25" x14ac:dyDescent="0.15">
      <c r="A735" s="19"/>
      <c r="B735" s="19"/>
    </row>
    <row r="736" spans="1:2" ht="17.25" x14ac:dyDescent="0.15">
      <c r="A736" s="19"/>
      <c r="B736" s="19"/>
    </row>
    <row r="737" spans="1:2" ht="17.25" x14ac:dyDescent="0.15">
      <c r="A737" s="19"/>
      <c r="B737" s="19"/>
    </row>
    <row r="738" spans="1:2" ht="17.25" x14ac:dyDescent="0.15">
      <c r="A738" s="19"/>
      <c r="B738" s="19"/>
    </row>
    <row r="739" spans="1:2" ht="17.25" x14ac:dyDescent="0.15">
      <c r="A739" s="19"/>
      <c r="B739" s="19"/>
    </row>
    <row r="740" spans="1:2" ht="17.25" x14ac:dyDescent="0.15">
      <c r="A740" s="19"/>
      <c r="B740" s="19"/>
    </row>
    <row r="741" spans="1:2" ht="17.25" x14ac:dyDescent="0.15">
      <c r="A741" s="19"/>
      <c r="B741" s="19"/>
    </row>
    <row r="742" spans="1:2" ht="17.25" x14ac:dyDescent="0.15">
      <c r="A742" s="19"/>
      <c r="B742" s="19"/>
    </row>
    <row r="743" spans="1:2" ht="17.25" x14ac:dyDescent="0.15">
      <c r="A743" s="19"/>
      <c r="B743" s="19"/>
    </row>
    <row r="744" spans="1:2" ht="17.25" x14ac:dyDescent="0.15">
      <c r="A744" s="19"/>
      <c r="B744" s="19"/>
    </row>
    <row r="745" spans="1:2" ht="17.25" x14ac:dyDescent="0.15">
      <c r="A745" s="19"/>
      <c r="B745" s="19"/>
    </row>
    <row r="746" spans="1:2" ht="17.25" x14ac:dyDescent="0.15">
      <c r="A746" s="19"/>
      <c r="B746" s="19"/>
    </row>
    <row r="747" spans="1:2" ht="17.25" x14ac:dyDescent="0.15">
      <c r="A747" s="19"/>
      <c r="B747" s="19"/>
    </row>
    <row r="748" spans="1:2" ht="17.25" x14ac:dyDescent="0.15">
      <c r="A748" s="19"/>
      <c r="B748" s="19"/>
    </row>
    <row r="749" spans="1:2" ht="17.25" x14ac:dyDescent="0.15">
      <c r="A749" s="19"/>
      <c r="B749" s="19"/>
    </row>
    <row r="750" spans="1:2" ht="17.25" x14ac:dyDescent="0.15">
      <c r="A750" s="19"/>
      <c r="B750" s="19"/>
    </row>
    <row r="751" spans="1:2" ht="17.25" x14ac:dyDescent="0.15">
      <c r="A751" s="19"/>
      <c r="B751" s="19"/>
    </row>
    <row r="752" spans="1:2" ht="17.25" x14ac:dyDescent="0.15">
      <c r="A752" s="19"/>
      <c r="B752" s="19"/>
    </row>
    <row r="753" spans="1:2" ht="17.25" x14ac:dyDescent="0.15">
      <c r="A753" s="19"/>
      <c r="B753" s="19"/>
    </row>
    <row r="754" spans="1:2" ht="17.25" x14ac:dyDescent="0.15">
      <c r="A754" s="19"/>
      <c r="B754" s="19"/>
    </row>
    <row r="755" spans="1:2" ht="17.25" x14ac:dyDescent="0.15">
      <c r="A755" s="19"/>
      <c r="B755" s="19"/>
    </row>
    <row r="756" spans="1:2" ht="17.25" x14ac:dyDescent="0.15">
      <c r="A756" s="19"/>
      <c r="B756" s="19"/>
    </row>
    <row r="757" spans="1:2" ht="17.25" x14ac:dyDescent="0.15">
      <c r="A757" s="19"/>
      <c r="B757" s="19"/>
    </row>
    <row r="758" spans="1:2" ht="17.25" x14ac:dyDescent="0.15">
      <c r="A758" s="19"/>
      <c r="B758" s="19"/>
    </row>
    <row r="759" spans="1:2" ht="17.25" x14ac:dyDescent="0.15">
      <c r="A759" s="19"/>
      <c r="B759" s="19"/>
    </row>
    <row r="760" spans="1:2" ht="17.25" x14ac:dyDescent="0.15">
      <c r="A760" s="19"/>
      <c r="B760" s="19"/>
    </row>
    <row r="761" spans="1:2" ht="17.25" x14ac:dyDescent="0.15">
      <c r="A761" s="19"/>
      <c r="B761" s="19"/>
    </row>
    <row r="762" spans="1:2" ht="17.25" x14ac:dyDescent="0.15">
      <c r="A762" s="19"/>
      <c r="B762" s="19"/>
    </row>
    <row r="763" spans="1:2" ht="17.25" x14ac:dyDescent="0.15">
      <c r="A763" s="19"/>
      <c r="B763" s="19"/>
    </row>
    <row r="764" spans="1:2" ht="17.25" x14ac:dyDescent="0.15">
      <c r="A764" s="19"/>
      <c r="B764" s="19"/>
    </row>
    <row r="765" spans="1:2" ht="17.25" x14ac:dyDescent="0.15">
      <c r="A765" s="19"/>
      <c r="B765" s="19"/>
    </row>
    <row r="766" spans="1:2" ht="17.25" x14ac:dyDescent="0.15">
      <c r="A766" s="19"/>
      <c r="B766" s="19"/>
    </row>
    <row r="767" spans="1:2" ht="17.25" x14ac:dyDescent="0.15">
      <c r="A767" s="19"/>
      <c r="B767" s="19"/>
    </row>
    <row r="768" spans="1:2" ht="17.25" x14ac:dyDescent="0.15">
      <c r="A768" s="19"/>
      <c r="B768" s="19"/>
    </row>
    <row r="769" spans="1:2" ht="17.25" x14ac:dyDescent="0.15">
      <c r="A769" s="19"/>
      <c r="B769" s="19"/>
    </row>
    <row r="770" spans="1:2" ht="17.25" x14ac:dyDescent="0.15">
      <c r="A770" s="19"/>
      <c r="B770" s="19"/>
    </row>
    <row r="771" spans="1:2" ht="17.25" x14ac:dyDescent="0.15">
      <c r="A771" s="19"/>
      <c r="B771" s="19"/>
    </row>
    <row r="772" spans="1:2" ht="17.25" x14ac:dyDescent="0.15">
      <c r="A772" s="19"/>
      <c r="B772" s="19"/>
    </row>
    <row r="773" spans="1:2" ht="17.25" x14ac:dyDescent="0.15">
      <c r="A773" s="19"/>
      <c r="B773" s="19"/>
    </row>
    <row r="774" spans="1:2" ht="17.25" x14ac:dyDescent="0.15">
      <c r="A774" s="19"/>
      <c r="B774" s="19"/>
    </row>
    <row r="775" spans="1:2" ht="17.25" x14ac:dyDescent="0.15">
      <c r="A775" s="19"/>
      <c r="B775" s="19"/>
    </row>
    <row r="776" spans="1:2" ht="17.25" x14ac:dyDescent="0.15">
      <c r="A776" s="19"/>
      <c r="B776" s="19"/>
    </row>
    <row r="777" spans="1:2" ht="17.25" x14ac:dyDescent="0.15">
      <c r="A777" s="19"/>
      <c r="B777" s="19"/>
    </row>
    <row r="778" spans="1:2" ht="17.25" x14ac:dyDescent="0.15">
      <c r="A778" s="19"/>
      <c r="B778" s="19"/>
    </row>
    <row r="779" spans="1:2" ht="17.25" x14ac:dyDescent="0.15">
      <c r="A779" s="19"/>
      <c r="B779" s="19"/>
    </row>
    <row r="780" spans="1:2" ht="17.25" x14ac:dyDescent="0.15">
      <c r="A780" s="19"/>
      <c r="B780" s="19"/>
    </row>
    <row r="781" spans="1:2" ht="17.25" x14ac:dyDescent="0.15">
      <c r="A781" s="19"/>
      <c r="B781" s="19"/>
    </row>
    <row r="782" spans="1:2" ht="17.25" x14ac:dyDescent="0.15">
      <c r="A782" s="19"/>
      <c r="B782" s="19"/>
    </row>
    <row r="783" spans="1:2" ht="17.25" x14ac:dyDescent="0.15">
      <c r="A783" s="19"/>
      <c r="B783" s="19"/>
    </row>
    <row r="784" spans="1:2" ht="17.25" x14ac:dyDescent="0.15">
      <c r="A784" s="19"/>
      <c r="B784" s="19"/>
    </row>
    <row r="785" spans="1:2" ht="17.25" x14ac:dyDescent="0.15">
      <c r="A785" s="19"/>
      <c r="B785" s="19"/>
    </row>
    <row r="786" spans="1:2" ht="17.25" x14ac:dyDescent="0.15">
      <c r="A786" s="19"/>
      <c r="B786" s="19"/>
    </row>
    <row r="787" spans="1:2" ht="17.25" x14ac:dyDescent="0.15">
      <c r="A787" s="19"/>
      <c r="B787" s="19"/>
    </row>
    <row r="788" spans="1:2" ht="17.25" x14ac:dyDescent="0.15">
      <c r="A788" s="19"/>
      <c r="B788" s="19"/>
    </row>
    <row r="789" spans="1:2" ht="17.25" x14ac:dyDescent="0.15">
      <c r="A789" s="19"/>
      <c r="B789" s="19"/>
    </row>
    <row r="790" spans="1:2" ht="17.25" x14ac:dyDescent="0.15">
      <c r="A790" s="19"/>
      <c r="B790" s="19"/>
    </row>
    <row r="791" spans="1:2" ht="17.25" x14ac:dyDescent="0.15">
      <c r="A791" s="19"/>
      <c r="B791" s="19"/>
    </row>
    <row r="792" spans="1:2" ht="17.25" x14ac:dyDescent="0.15">
      <c r="A792" s="19"/>
      <c r="B792" s="19"/>
    </row>
    <row r="793" spans="1:2" ht="17.25" x14ac:dyDescent="0.15">
      <c r="A793" s="19"/>
      <c r="B793" s="19"/>
    </row>
    <row r="794" spans="1:2" ht="17.25" x14ac:dyDescent="0.15">
      <c r="A794" s="19"/>
      <c r="B794" s="19"/>
    </row>
    <row r="795" spans="1:2" ht="17.25" x14ac:dyDescent="0.15">
      <c r="A795" s="19"/>
      <c r="B795" s="19"/>
    </row>
    <row r="796" spans="1:2" ht="17.25" x14ac:dyDescent="0.15">
      <c r="A796" s="19"/>
      <c r="B796" s="19"/>
    </row>
    <row r="797" spans="1:2" ht="17.25" x14ac:dyDescent="0.15">
      <c r="A797" s="19"/>
      <c r="B797" s="19"/>
    </row>
    <row r="798" spans="1:2" ht="17.25" x14ac:dyDescent="0.15">
      <c r="A798" s="19"/>
      <c r="B798" s="19"/>
    </row>
    <row r="799" spans="1:2" ht="17.25" x14ac:dyDescent="0.15">
      <c r="A799" s="19"/>
      <c r="B799" s="19"/>
    </row>
    <row r="800" spans="1:2" ht="17.25" x14ac:dyDescent="0.15">
      <c r="A800" s="19"/>
      <c r="B800" s="19"/>
    </row>
    <row r="801" spans="1:2" ht="17.25" x14ac:dyDescent="0.15">
      <c r="A801" s="19"/>
      <c r="B801" s="19"/>
    </row>
    <row r="802" spans="1:2" ht="17.25" x14ac:dyDescent="0.15">
      <c r="A802" s="19"/>
      <c r="B802" s="19"/>
    </row>
    <row r="803" spans="1:2" ht="17.25" x14ac:dyDescent="0.15">
      <c r="A803" s="19"/>
      <c r="B803" s="19"/>
    </row>
    <row r="804" spans="1:2" ht="17.25" x14ac:dyDescent="0.15">
      <c r="A804" s="19"/>
      <c r="B804" s="19"/>
    </row>
    <row r="805" spans="1:2" ht="17.25" x14ac:dyDescent="0.15">
      <c r="A805" s="19"/>
      <c r="B805" s="19"/>
    </row>
    <row r="806" spans="1:2" ht="17.25" x14ac:dyDescent="0.15">
      <c r="A806" s="19"/>
      <c r="B806" s="19"/>
    </row>
    <row r="807" spans="1:2" ht="17.25" x14ac:dyDescent="0.15">
      <c r="A807" s="19"/>
      <c r="B807" s="19"/>
    </row>
    <row r="808" spans="1:2" ht="17.25" x14ac:dyDescent="0.15">
      <c r="A808" s="19"/>
      <c r="B808" s="19"/>
    </row>
    <row r="809" spans="1:2" ht="17.25" x14ac:dyDescent="0.15">
      <c r="A809" s="19"/>
      <c r="B809" s="19"/>
    </row>
    <row r="810" spans="1:2" ht="17.25" x14ac:dyDescent="0.15">
      <c r="A810" s="19"/>
      <c r="B810" s="19"/>
    </row>
    <row r="811" spans="1:2" ht="17.25" x14ac:dyDescent="0.15">
      <c r="A811" s="19"/>
      <c r="B811" s="19"/>
    </row>
    <row r="812" spans="1:2" ht="17.25" x14ac:dyDescent="0.15">
      <c r="A812" s="19"/>
      <c r="B812" s="19"/>
    </row>
    <row r="813" spans="1:2" ht="17.25" x14ac:dyDescent="0.15">
      <c r="A813" s="19"/>
      <c r="B813" s="19"/>
    </row>
    <row r="814" spans="1:2" ht="17.25" x14ac:dyDescent="0.15">
      <c r="A814" s="19"/>
      <c r="B814" s="19"/>
    </row>
    <row r="815" spans="1:2" ht="17.25" x14ac:dyDescent="0.15">
      <c r="A815" s="19"/>
      <c r="B815" s="19"/>
    </row>
    <row r="816" spans="1:2" ht="17.25" x14ac:dyDescent="0.15">
      <c r="A816" s="19"/>
      <c r="B816" s="19"/>
    </row>
    <row r="817" spans="1:2" ht="17.25" x14ac:dyDescent="0.15">
      <c r="A817" s="19"/>
      <c r="B817" s="19"/>
    </row>
    <row r="818" spans="1:2" ht="17.25" x14ac:dyDescent="0.15">
      <c r="A818" s="19"/>
      <c r="B818" s="19"/>
    </row>
    <row r="819" spans="1:2" ht="17.25" x14ac:dyDescent="0.15">
      <c r="A819" s="19"/>
      <c r="B819" s="19"/>
    </row>
    <row r="820" spans="1:2" ht="17.25" x14ac:dyDescent="0.15">
      <c r="A820" s="19"/>
      <c r="B820" s="19"/>
    </row>
    <row r="821" spans="1:2" ht="17.25" x14ac:dyDescent="0.15">
      <c r="A821" s="19"/>
      <c r="B821" s="19"/>
    </row>
    <row r="822" spans="1:2" ht="17.25" x14ac:dyDescent="0.15">
      <c r="A822" s="19"/>
      <c r="B822" s="19"/>
    </row>
    <row r="823" spans="1:2" ht="17.25" x14ac:dyDescent="0.15">
      <c r="A823" s="19"/>
      <c r="B823" s="19"/>
    </row>
    <row r="824" spans="1:2" ht="17.25" x14ac:dyDescent="0.15">
      <c r="A824" s="19"/>
      <c r="B824" s="19"/>
    </row>
    <row r="825" spans="1:2" ht="17.25" x14ac:dyDescent="0.15">
      <c r="A825" s="19"/>
      <c r="B825" s="19"/>
    </row>
    <row r="826" spans="1:2" ht="17.25" x14ac:dyDescent="0.15">
      <c r="A826" s="19"/>
      <c r="B826" s="19"/>
    </row>
    <row r="827" spans="1:2" ht="17.25" x14ac:dyDescent="0.15">
      <c r="A827" s="19"/>
      <c r="B827" s="19"/>
    </row>
    <row r="828" spans="1:2" ht="17.25" x14ac:dyDescent="0.15">
      <c r="A828" s="19"/>
      <c r="B828" s="19"/>
    </row>
    <row r="829" spans="1:2" ht="17.25" x14ac:dyDescent="0.15">
      <c r="A829" s="19"/>
      <c r="B829" s="19"/>
    </row>
    <row r="830" spans="1:2" ht="17.25" x14ac:dyDescent="0.15">
      <c r="A830" s="19"/>
      <c r="B830" s="19"/>
    </row>
    <row r="831" spans="1:2" ht="17.25" x14ac:dyDescent="0.15">
      <c r="A831" s="19"/>
      <c r="B831" s="19"/>
    </row>
    <row r="832" spans="1:2" ht="17.25" x14ac:dyDescent="0.15">
      <c r="A832" s="19"/>
      <c r="B832" s="19"/>
    </row>
    <row r="833" spans="1:2" ht="17.25" x14ac:dyDescent="0.15">
      <c r="A833" s="19"/>
      <c r="B833" s="19"/>
    </row>
    <row r="834" spans="1:2" ht="17.25" x14ac:dyDescent="0.15">
      <c r="A834" s="19"/>
      <c r="B834" s="19"/>
    </row>
    <row r="835" spans="1:2" ht="17.25" x14ac:dyDescent="0.15">
      <c r="A835" s="19"/>
      <c r="B835" s="19"/>
    </row>
    <row r="836" spans="1:2" ht="17.25" x14ac:dyDescent="0.15">
      <c r="A836" s="19"/>
      <c r="B836" s="19"/>
    </row>
    <row r="837" spans="1:2" ht="17.25" x14ac:dyDescent="0.15">
      <c r="A837" s="19"/>
      <c r="B837" s="19"/>
    </row>
    <row r="838" spans="1:2" ht="17.25" x14ac:dyDescent="0.15">
      <c r="A838" s="19"/>
      <c r="B838" s="19"/>
    </row>
    <row r="839" spans="1:2" ht="17.25" x14ac:dyDescent="0.15">
      <c r="A839" s="19"/>
      <c r="B839" s="19"/>
    </row>
    <row r="840" spans="1:2" ht="17.25" x14ac:dyDescent="0.15">
      <c r="A840" s="19"/>
      <c r="B840" s="19"/>
    </row>
    <row r="841" spans="1:2" ht="17.25" x14ac:dyDescent="0.15">
      <c r="A841" s="19"/>
      <c r="B841" s="19"/>
    </row>
    <row r="842" spans="1:2" ht="17.25" x14ac:dyDescent="0.15">
      <c r="A842" s="19"/>
      <c r="B842" s="19"/>
    </row>
    <row r="843" spans="1:2" ht="17.25" x14ac:dyDescent="0.15">
      <c r="A843" s="19"/>
      <c r="B843" s="19"/>
    </row>
    <row r="844" spans="1:2" ht="17.25" x14ac:dyDescent="0.15">
      <c r="A844" s="19"/>
      <c r="B844" s="19"/>
    </row>
    <row r="845" spans="1:2" ht="17.25" x14ac:dyDescent="0.15">
      <c r="A845" s="19"/>
      <c r="B845" s="19"/>
    </row>
    <row r="846" spans="1:2" ht="17.25" x14ac:dyDescent="0.15">
      <c r="A846" s="19"/>
      <c r="B846" s="19"/>
    </row>
    <row r="847" spans="1:2" ht="17.25" x14ac:dyDescent="0.15">
      <c r="A847" s="19"/>
      <c r="B847" s="19"/>
    </row>
    <row r="848" spans="1:2" ht="17.25" x14ac:dyDescent="0.15">
      <c r="A848" s="19"/>
      <c r="B848" s="19"/>
    </row>
    <row r="849" spans="1:2" ht="17.25" x14ac:dyDescent="0.15">
      <c r="A849" s="19"/>
      <c r="B849" s="19"/>
    </row>
    <row r="850" spans="1:2" ht="17.25" x14ac:dyDescent="0.15">
      <c r="A850" s="19"/>
      <c r="B850" s="19"/>
    </row>
    <row r="851" spans="1:2" ht="17.25" x14ac:dyDescent="0.15">
      <c r="A851" s="19"/>
      <c r="B851" s="19"/>
    </row>
    <row r="852" spans="1:2" ht="17.25" x14ac:dyDescent="0.15">
      <c r="A852" s="19"/>
      <c r="B852" s="19"/>
    </row>
    <row r="853" spans="1:2" ht="17.25" x14ac:dyDescent="0.15">
      <c r="A853" s="19"/>
      <c r="B853" s="19"/>
    </row>
    <row r="854" spans="1:2" ht="17.25" x14ac:dyDescent="0.15">
      <c r="A854" s="19"/>
      <c r="B854" s="19"/>
    </row>
    <row r="855" spans="1:2" ht="17.25" x14ac:dyDescent="0.15">
      <c r="A855" s="19"/>
      <c r="B855" s="19"/>
    </row>
    <row r="856" spans="1:2" ht="17.25" x14ac:dyDescent="0.15">
      <c r="A856" s="19"/>
      <c r="B856" s="19"/>
    </row>
    <row r="857" spans="1:2" ht="17.25" x14ac:dyDescent="0.15">
      <c r="A857" s="19"/>
      <c r="B857" s="19"/>
    </row>
    <row r="858" spans="1:2" ht="17.25" x14ac:dyDescent="0.15">
      <c r="A858" s="19"/>
      <c r="B858" s="19"/>
    </row>
    <row r="859" spans="1:2" ht="17.25" x14ac:dyDescent="0.15">
      <c r="A859" s="19"/>
      <c r="B859" s="19"/>
    </row>
    <row r="860" spans="1:2" ht="17.25" x14ac:dyDescent="0.15">
      <c r="A860" s="19"/>
      <c r="B860" s="19"/>
    </row>
    <row r="861" spans="1:2" ht="17.25" x14ac:dyDescent="0.15">
      <c r="A861" s="19"/>
      <c r="B861" s="19"/>
    </row>
    <row r="862" spans="1:2" ht="17.25" x14ac:dyDescent="0.15">
      <c r="A862" s="19"/>
      <c r="B862" s="19"/>
    </row>
    <row r="863" spans="1:2" ht="17.25" x14ac:dyDescent="0.15">
      <c r="A863" s="19"/>
      <c r="B863" s="19"/>
    </row>
    <row r="864" spans="1:2" ht="17.25" x14ac:dyDescent="0.15">
      <c r="A864" s="19"/>
      <c r="B864" s="19"/>
    </row>
    <row r="865" spans="1:2" ht="17.25" x14ac:dyDescent="0.15">
      <c r="A865" s="19"/>
      <c r="B865" s="19"/>
    </row>
    <row r="866" spans="1:2" ht="17.25" x14ac:dyDescent="0.15">
      <c r="A866" s="19"/>
      <c r="B866" s="19"/>
    </row>
    <row r="867" spans="1:2" ht="17.25" x14ac:dyDescent="0.15">
      <c r="A867" s="19"/>
      <c r="B867" s="19"/>
    </row>
    <row r="868" spans="1:2" ht="17.25" x14ac:dyDescent="0.15">
      <c r="A868" s="19"/>
      <c r="B868" s="19"/>
    </row>
    <row r="869" spans="1:2" ht="17.25" x14ac:dyDescent="0.15">
      <c r="A869" s="19"/>
      <c r="B869" s="19"/>
    </row>
    <row r="870" spans="1:2" ht="17.25" x14ac:dyDescent="0.15">
      <c r="A870" s="19"/>
      <c r="B870" s="19"/>
    </row>
    <row r="871" spans="1:2" ht="17.25" x14ac:dyDescent="0.15">
      <c r="A871" s="19"/>
      <c r="B871" s="19"/>
    </row>
    <row r="872" spans="1:2" ht="17.25" x14ac:dyDescent="0.15">
      <c r="A872" s="19"/>
      <c r="B872" s="19"/>
    </row>
    <row r="873" spans="1:2" ht="17.25" x14ac:dyDescent="0.15">
      <c r="A873" s="19"/>
      <c r="B873" s="19"/>
    </row>
    <row r="874" spans="1:2" ht="17.25" x14ac:dyDescent="0.15">
      <c r="A874" s="19"/>
      <c r="B874" s="19"/>
    </row>
    <row r="875" spans="1:2" ht="17.25" x14ac:dyDescent="0.15">
      <c r="A875" s="19"/>
      <c r="B875" s="19"/>
    </row>
    <row r="876" spans="1:2" ht="17.25" x14ac:dyDescent="0.15">
      <c r="A876" s="19"/>
      <c r="B876" s="19"/>
    </row>
    <row r="877" spans="1:2" ht="17.25" x14ac:dyDescent="0.15">
      <c r="A877" s="19"/>
      <c r="B877" s="19"/>
    </row>
    <row r="878" spans="1:2" ht="17.25" x14ac:dyDescent="0.15">
      <c r="A878" s="19"/>
      <c r="B878" s="19"/>
    </row>
    <row r="879" spans="1:2" ht="17.25" x14ac:dyDescent="0.15">
      <c r="A879" s="19"/>
      <c r="B879" s="19"/>
    </row>
    <row r="880" spans="1:2" ht="17.25" x14ac:dyDescent="0.15">
      <c r="A880" s="19"/>
      <c r="B880" s="19"/>
    </row>
    <row r="881" spans="1:2" ht="17.25" x14ac:dyDescent="0.15">
      <c r="A881" s="19"/>
      <c r="B881" s="19"/>
    </row>
    <row r="882" spans="1:2" ht="17.25" x14ac:dyDescent="0.15">
      <c r="A882" s="19"/>
      <c r="B882" s="19"/>
    </row>
    <row r="883" spans="1:2" ht="17.25" x14ac:dyDescent="0.15">
      <c r="A883" s="19"/>
      <c r="B883" s="19"/>
    </row>
    <row r="884" spans="1:2" ht="17.25" x14ac:dyDescent="0.15">
      <c r="A884" s="19"/>
      <c r="B884" s="19"/>
    </row>
    <row r="885" spans="1:2" ht="17.25" x14ac:dyDescent="0.15">
      <c r="A885" s="19"/>
      <c r="B885" s="19"/>
    </row>
    <row r="886" spans="1:2" ht="17.25" x14ac:dyDescent="0.15">
      <c r="A886" s="19"/>
      <c r="B886" s="19"/>
    </row>
    <row r="887" spans="1:2" ht="17.25" x14ac:dyDescent="0.15">
      <c r="A887" s="19"/>
      <c r="B887" s="19"/>
    </row>
    <row r="888" spans="1:2" ht="17.25" x14ac:dyDescent="0.15">
      <c r="A888" s="19"/>
      <c r="B888" s="19"/>
    </row>
    <row r="889" spans="1:2" ht="17.25" x14ac:dyDescent="0.15">
      <c r="A889" s="19"/>
      <c r="B889" s="19"/>
    </row>
    <row r="890" spans="1:2" ht="17.25" x14ac:dyDescent="0.15">
      <c r="A890" s="19"/>
      <c r="B890" s="19"/>
    </row>
    <row r="891" spans="1:2" ht="17.25" x14ac:dyDescent="0.15">
      <c r="A891" s="19"/>
      <c r="B891" s="19"/>
    </row>
    <row r="892" spans="1:2" ht="17.25" x14ac:dyDescent="0.15">
      <c r="A892" s="19"/>
      <c r="B892" s="19"/>
    </row>
    <row r="893" spans="1:2" ht="17.25" x14ac:dyDescent="0.15">
      <c r="A893" s="19"/>
      <c r="B893" s="19"/>
    </row>
    <row r="894" spans="1:2" ht="17.25" x14ac:dyDescent="0.15">
      <c r="A894" s="19"/>
      <c r="B894" s="19"/>
    </row>
    <row r="895" spans="1:2" ht="17.25" x14ac:dyDescent="0.15">
      <c r="A895" s="19"/>
      <c r="B895" s="19"/>
    </row>
    <row r="896" spans="1:2" ht="17.25" x14ac:dyDescent="0.15">
      <c r="A896" s="19"/>
      <c r="B896" s="19"/>
    </row>
    <row r="897" spans="1:2" ht="17.25" x14ac:dyDescent="0.15">
      <c r="A897" s="19"/>
      <c r="B897" s="19"/>
    </row>
    <row r="898" spans="1:2" ht="17.25" x14ac:dyDescent="0.15">
      <c r="A898" s="19"/>
      <c r="B898" s="19"/>
    </row>
    <row r="899" spans="1:2" ht="17.25" x14ac:dyDescent="0.15">
      <c r="A899" s="19"/>
      <c r="B899" s="19"/>
    </row>
    <row r="900" spans="1:2" ht="17.25" x14ac:dyDescent="0.15">
      <c r="A900" s="19"/>
      <c r="B900" s="19"/>
    </row>
    <row r="901" spans="1:2" ht="17.25" x14ac:dyDescent="0.15">
      <c r="A901" s="19"/>
      <c r="B901" s="19"/>
    </row>
    <row r="902" spans="1:2" ht="17.25" x14ac:dyDescent="0.15">
      <c r="A902" s="19"/>
      <c r="B902" s="19"/>
    </row>
    <row r="903" spans="1:2" ht="17.25" x14ac:dyDescent="0.15">
      <c r="A903" s="19"/>
      <c r="B903" s="19"/>
    </row>
    <row r="904" spans="1:2" ht="17.25" x14ac:dyDescent="0.15">
      <c r="A904" s="19"/>
      <c r="B904" s="19"/>
    </row>
    <row r="905" spans="1:2" ht="17.25" x14ac:dyDescent="0.15">
      <c r="A905" s="19"/>
      <c r="B905" s="19"/>
    </row>
    <row r="906" spans="1:2" ht="17.25" x14ac:dyDescent="0.15">
      <c r="A906" s="19"/>
      <c r="B906" s="19"/>
    </row>
    <row r="907" spans="1:2" ht="17.25" x14ac:dyDescent="0.15">
      <c r="A907" s="19"/>
      <c r="B907" s="19"/>
    </row>
    <row r="908" spans="1:2" ht="17.25" x14ac:dyDescent="0.15">
      <c r="A908" s="19"/>
      <c r="B908" s="19"/>
    </row>
    <row r="909" spans="1:2" ht="17.25" x14ac:dyDescent="0.15">
      <c r="A909" s="19"/>
      <c r="B909" s="19"/>
    </row>
    <row r="910" spans="1:2" ht="17.25" x14ac:dyDescent="0.15">
      <c r="A910" s="19"/>
      <c r="B910" s="19"/>
    </row>
    <row r="911" spans="1:2" ht="17.25" x14ac:dyDescent="0.15">
      <c r="A911" s="19"/>
      <c r="B911" s="19"/>
    </row>
    <row r="912" spans="1:2" ht="17.25" x14ac:dyDescent="0.15">
      <c r="A912" s="19"/>
      <c r="B912" s="19"/>
    </row>
    <row r="913" spans="1:2" ht="17.25" x14ac:dyDescent="0.15">
      <c r="A913" s="19"/>
      <c r="B913" s="19"/>
    </row>
    <row r="914" spans="1:2" ht="17.25" x14ac:dyDescent="0.15">
      <c r="A914" s="19"/>
      <c r="B914" s="19"/>
    </row>
    <row r="915" spans="1:2" ht="17.25" x14ac:dyDescent="0.15">
      <c r="A915" s="19"/>
      <c r="B915" s="19"/>
    </row>
    <row r="916" spans="1:2" ht="17.25" x14ac:dyDescent="0.15">
      <c r="A916" s="19"/>
      <c r="B916" s="19"/>
    </row>
    <row r="917" spans="1:2" ht="17.25" x14ac:dyDescent="0.15">
      <c r="A917" s="19"/>
      <c r="B917" s="19"/>
    </row>
    <row r="918" spans="1:2" ht="17.25" x14ac:dyDescent="0.15">
      <c r="A918" s="19"/>
      <c r="B918" s="19"/>
    </row>
    <row r="919" spans="1:2" ht="17.25" x14ac:dyDescent="0.15">
      <c r="A919" s="19"/>
      <c r="B919" s="19"/>
    </row>
    <row r="920" spans="1:2" ht="17.25" x14ac:dyDescent="0.15">
      <c r="A920" s="19"/>
      <c r="B920" s="19"/>
    </row>
    <row r="921" spans="1:2" ht="17.25" x14ac:dyDescent="0.15">
      <c r="A921" s="19"/>
      <c r="B921" s="19"/>
    </row>
    <row r="922" spans="1:2" ht="17.25" x14ac:dyDescent="0.15">
      <c r="A922" s="19"/>
      <c r="B922" s="19"/>
    </row>
    <row r="923" spans="1:2" ht="17.25" x14ac:dyDescent="0.15">
      <c r="A923" s="19"/>
      <c r="B923" s="19"/>
    </row>
    <row r="924" spans="1:2" ht="17.25" x14ac:dyDescent="0.15">
      <c r="A924" s="19"/>
      <c r="B924" s="19"/>
    </row>
    <row r="925" spans="1:2" ht="17.25" x14ac:dyDescent="0.15">
      <c r="A925" s="19"/>
      <c r="B925" s="19"/>
    </row>
    <row r="926" spans="1:2" ht="17.25" x14ac:dyDescent="0.15">
      <c r="A926" s="19"/>
      <c r="B926" s="19"/>
    </row>
    <row r="927" spans="1:2" ht="17.25" x14ac:dyDescent="0.15">
      <c r="A927" s="19"/>
      <c r="B927" s="19"/>
    </row>
    <row r="928" spans="1:2" ht="17.25" x14ac:dyDescent="0.15">
      <c r="A928" s="19"/>
      <c r="B928" s="19"/>
    </row>
    <row r="929" spans="1:2" ht="17.25" x14ac:dyDescent="0.15">
      <c r="A929" s="19"/>
      <c r="B929" s="19"/>
    </row>
    <row r="930" spans="1:2" ht="17.25" x14ac:dyDescent="0.15">
      <c r="A930" s="19"/>
      <c r="B930" s="19"/>
    </row>
    <row r="931" spans="1:2" ht="17.25" x14ac:dyDescent="0.15">
      <c r="A931" s="19"/>
      <c r="B931" s="19"/>
    </row>
    <row r="932" spans="1:2" ht="17.25" x14ac:dyDescent="0.15">
      <c r="A932" s="19"/>
      <c r="B932" s="19"/>
    </row>
    <row r="933" spans="1:2" ht="17.25" x14ac:dyDescent="0.15">
      <c r="A933" s="19"/>
      <c r="B933" s="19"/>
    </row>
    <row r="934" spans="1:2" ht="17.25" x14ac:dyDescent="0.15">
      <c r="A934" s="19"/>
      <c r="B934" s="19"/>
    </row>
    <row r="935" spans="1:2" ht="17.25" x14ac:dyDescent="0.15">
      <c r="A935" s="19"/>
      <c r="B935" s="19"/>
    </row>
    <row r="936" spans="1:2" ht="17.25" x14ac:dyDescent="0.15">
      <c r="A936" s="19"/>
      <c r="B936" s="19"/>
    </row>
    <row r="937" spans="1:2" ht="17.25" x14ac:dyDescent="0.15">
      <c r="A937" s="19"/>
      <c r="B937" s="19"/>
    </row>
    <row r="938" spans="1:2" ht="17.25" x14ac:dyDescent="0.15">
      <c r="A938" s="19"/>
      <c r="B938" s="19"/>
    </row>
    <row r="939" spans="1:2" ht="17.25" x14ac:dyDescent="0.15">
      <c r="A939" s="19"/>
      <c r="B939" s="19"/>
    </row>
    <row r="940" spans="1:2" ht="17.25" x14ac:dyDescent="0.15">
      <c r="A940" s="19"/>
      <c r="B940" s="19"/>
    </row>
    <row r="941" spans="1:2" ht="17.25" x14ac:dyDescent="0.15">
      <c r="A941" s="19"/>
      <c r="B941" s="19"/>
    </row>
    <row r="942" spans="1:2" ht="17.25" x14ac:dyDescent="0.15">
      <c r="A942" s="19"/>
      <c r="B942" s="19"/>
    </row>
    <row r="943" spans="1:2" ht="17.25" x14ac:dyDescent="0.15">
      <c r="A943" s="19"/>
      <c r="B943" s="19"/>
    </row>
  </sheetData>
  <mergeCells count="2">
    <mergeCell ref="A2:B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ДАННЫЕ ИСХОДНЫЕ</vt:lpstr>
      <vt:lpstr>ЗАКУП</vt:lpstr>
      <vt:lpstr>ДАННЫЕ СПРАВОЧНЫЕ</vt:lpstr>
      <vt:lpstr>КАЛЬКУЛЯЦИЯ ПАРТИИ ТОВАРОВ</vt:lpstr>
      <vt:lpstr>ФИН ЗАЕМ</vt:lpstr>
      <vt:lpstr>CASH FLOW</vt:lpstr>
      <vt:lpstr>P&amp;L</vt:lpstr>
      <vt:lpstr>ФИН. ПОКАЗАТЕЛИ</vt:lpstr>
      <vt:lpstr>ИНВЕСТ. ПОКАЗАТЕЛИ</vt:lpstr>
      <vt:lpstr>НАЛОГОВАЯ НАГРУЗКА</vt:lpstr>
      <vt:lpstr>СХЕМЫ СТРАТЕГИИ ПО РАЗВИТИЮ</vt:lpstr>
      <vt:lpstr>Курсы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Бобылев</dc:creator>
  <cp:lastModifiedBy>Grigoriy</cp:lastModifiedBy>
  <dcterms:created xsi:type="dcterms:W3CDTF">2023-04-05T11:44:28Z</dcterms:created>
  <dcterms:modified xsi:type="dcterms:W3CDTF">2023-03-24T05:39:02Z</dcterms:modified>
</cp:coreProperties>
</file>