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77770\Desktop\Глэмпинг\"/>
    </mc:Choice>
  </mc:AlternateContent>
  <xr:revisionPtr revIDLastSave="0" documentId="13_ncr:1_{9027B35E-0CE0-4670-8D3F-140A01D3D1B7}" xr6:coauthVersionLast="47" xr6:coauthVersionMax="47" xr10:uidLastSave="{00000000-0000-0000-0000-000000000000}"/>
  <bookViews>
    <workbookView xWindow="-108" yWindow="-108" windowWidth="23256" windowHeight="12456" tabRatio="655" firstSheet="1" activeTab="8" xr2:uid="{00000000-000D-0000-FFFF-FFFF00000000}"/>
  </bookViews>
  <sheets>
    <sheet name="Титульный лист" sheetId="11" r:id="rId1"/>
    <sheet name="Оборудование" sheetId="7" r:id="rId2"/>
    <sheet name="ФОТ" sheetId="3" r:id="rId3"/>
    <sheet name="Инвестиции" sheetId="2" r:id="rId4"/>
    <sheet name="Продажи" sheetId="4" r:id="rId5"/>
    <sheet name="К" sheetId="12" state="hidden" r:id="rId6"/>
    <sheet name="Затраты" sheetId="9" r:id="rId7"/>
    <sheet name="Расчет окупаемости" sheetId="5" r:id="rId8"/>
    <sheet name="Экономические показатели" sheetId="6" r:id="rId9"/>
  </sheets>
  <calcPr calcId="181029" iterate="1" iterateDelta="1E-4"/>
</workbook>
</file>

<file path=xl/calcChain.xml><?xml version="1.0" encoding="utf-8"?>
<calcChain xmlns="http://schemas.openxmlformats.org/spreadsheetml/2006/main">
  <c r="R4" i="9" l="1"/>
  <c r="B7" i="9"/>
  <c r="C7" i="9"/>
  <c r="D7" i="9"/>
  <c r="E7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V7" i="9"/>
  <c r="W7" i="9"/>
  <c r="X7" i="9"/>
  <c r="Y7" i="9"/>
  <c r="B9" i="9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D2" i="3"/>
  <c r="A36" i="9"/>
  <c r="A37" i="9"/>
  <c r="A38" i="9"/>
  <c r="A39" i="9"/>
  <c r="A35" i="9"/>
  <c r="A30" i="9"/>
  <c r="A31" i="9"/>
  <c r="A32" i="9"/>
  <c r="A33" i="9"/>
  <c r="A29" i="9"/>
  <c r="C26" i="9"/>
  <c r="C8" i="9" s="1"/>
  <c r="D26" i="9"/>
  <c r="D8" i="9" s="1"/>
  <c r="E26" i="9"/>
  <c r="E8" i="9" s="1"/>
  <c r="F26" i="9"/>
  <c r="F8" i="9" s="1"/>
  <c r="G26" i="9"/>
  <c r="G8" i="9" s="1"/>
  <c r="H26" i="9"/>
  <c r="H8" i="9" s="1"/>
  <c r="I26" i="9"/>
  <c r="I8" i="9" s="1"/>
  <c r="J26" i="9"/>
  <c r="J8" i="9" s="1"/>
  <c r="K26" i="9"/>
  <c r="K8" i="9" s="1"/>
  <c r="L26" i="9"/>
  <c r="L8" i="9" s="1"/>
  <c r="M26" i="9"/>
  <c r="M8" i="9" s="1"/>
  <c r="N26" i="9"/>
  <c r="N8" i="9" s="1"/>
  <c r="O26" i="9"/>
  <c r="O8" i="9" s="1"/>
  <c r="P26" i="9"/>
  <c r="P8" i="9" s="1"/>
  <c r="Q26" i="9"/>
  <c r="Q8" i="9" s="1"/>
  <c r="R26" i="9"/>
  <c r="R8" i="9" s="1"/>
  <c r="S26" i="9"/>
  <c r="S8" i="9" s="1"/>
  <c r="T26" i="9"/>
  <c r="T8" i="9" s="1"/>
  <c r="U26" i="9"/>
  <c r="U8" i="9" s="1"/>
  <c r="V26" i="9"/>
  <c r="V8" i="9" s="1"/>
  <c r="W26" i="9"/>
  <c r="W8" i="9" s="1"/>
  <c r="X26" i="9"/>
  <c r="X8" i="9" s="1"/>
  <c r="Y26" i="9"/>
  <c r="Y8" i="9" s="1"/>
  <c r="B26" i="9"/>
  <c r="B37" i="9" s="1"/>
  <c r="C19" i="9"/>
  <c r="B33" i="9" s="1"/>
  <c r="D19" i="9"/>
  <c r="D4" i="9" s="1"/>
  <c r="E19" i="9"/>
  <c r="E4" i="9" s="1"/>
  <c r="F19" i="9"/>
  <c r="F4" i="9" s="1"/>
  <c r="G19" i="9"/>
  <c r="G4" i="9" s="1"/>
  <c r="H19" i="9"/>
  <c r="H4" i="9" s="1"/>
  <c r="I19" i="9"/>
  <c r="I4" i="9" s="1"/>
  <c r="J19" i="9"/>
  <c r="J4" i="9" s="1"/>
  <c r="K19" i="9"/>
  <c r="K4" i="9" s="1"/>
  <c r="L19" i="9"/>
  <c r="L4" i="9" s="1"/>
  <c r="M19" i="9"/>
  <c r="M4" i="9" s="1"/>
  <c r="N19" i="9"/>
  <c r="N4" i="9" s="1"/>
  <c r="O19" i="9"/>
  <c r="O4" i="9" s="1"/>
  <c r="P19" i="9"/>
  <c r="P4" i="9" s="1"/>
  <c r="Q19" i="9"/>
  <c r="Q4" i="9" s="1"/>
  <c r="R19" i="9"/>
  <c r="S19" i="9"/>
  <c r="S4" i="9" s="1"/>
  <c r="T19" i="9"/>
  <c r="T4" i="9" s="1"/>
  <c r="U19" i="9"/>
  <c r="U4" i="9" s="1"/>
  <c r="V19" i="9"/>
  <c r="V4" i="9" s="1"/>
  <c r="W19" i="9"/>
  <c r="W4" i="9" s="1"/>
  <c r="X19" i="9"/>
  <c r="X4" i="9" s="1"/>
  <c r="Y19" i="9"/>
  <c r="Y4" i="9" s="1"/>
  <c r="B19" i="9"/>
  <c r="B4" i="9" s="1"/>
  <c r="F18" i="12"/>
  <c r="F19" i="12"/>
  <c r="F20" i="12"/>
  <c r="B22" i="12"/>
  <c r="B23" i="12"/>
  <c r="B24" i="12"/>
  <c r="C21" i="12"/>
  <c r="C22" i="12"/>
  <c r="C23" i="12"/>
  <c r="D20" i="12"/>
  <c r="D21" i="12"/>
  <c r="D22" i="12"/>
  <c r="E19" i="12"/>
  <c r="E20" i="12"/>
  <c r="E21" i="12"/>
  <c r="G18" i="12"/>
  <c r="G19" i="12"/>
  <c r="G28" i="12"/>
  <c r="E5" i="3"/>
  <c r="E6" i="3"/>
  <c r="E7" i="3"/>
  <c r="E8" i="3"/>
  <c r="D3" i="3"/>
  <c r="D4" i="3"/>
  <c r="D5" i="3"/>
  <c r="D6" i="3"/>
  <c r="D7" i="3"/>
  <c r="E22" i="7"/>
  <c r="E14" i="7"/>
  <c r="E5" i="7"/>
  <c r="E6" i="7"/>
  <c r="E7" i="7"/>
  <c r="E8" i="7"/>
  <c r="E9" i="7"/>
  <c r="E12" i="7"/>
  <c r="E13" i="7"/>
  <c r="E10" i="7"/>
  <c r="E16" i="7"/>
  <c r="E17" i="7"/>
  <c r="E18" i="7"/>
  <c r="E19" i="7"/>
  <c r="E20" i="7"/>
  <c r="C4" i="9" l="1"/>
  <c r="B8" i="9"/>
  <c r="B36" i="9"/>
  <c r="B32" i="9"/>
  <c r="B31" i="9"/>
  <c r="B35" i="9"/>
  <c r="B39" i="9"/>
  <c r="B29" i="9"/>
  <c r="B30" i="9"/>
  <c r="B38" i="9"/>
  <c r="H8" i="4"/>
  <c r="F4" i="4"/>
  <c r="G4" i="4"/>
  <c r="H4" i="4"/>
  <c r="E4" i="3"/>
  <c r="G8" i="4" l="1"/>
  <c r="F8" i="4"/>
  <c r="G12" i="4" l="1"/>
  <c r="H12" i="4"/>
  <c r="F12" i="4"/>
  <c r="D8" i="3"/>
  <c r="D9" i="3" l="1"/>
  <c r="D16" i="3" l="1"/>
  <c r="I16" i="3"/>
  <c r="C16" i="3"/>
  <c r="E16" i="3"/>
  <c r="E17" i="3" s="1"/>
  <c r="E10" i="9" s="1"/>
  <c r="G16" i="3"/>
  <c r="G17" i="3" s="1"/>
  <c r="G10" i="9" s="1"/>
  <c r="K16" i="3"/>
  <c r="O16" i="3"/>
  <c r="Q16" i="3"/>
  <c r="S16" i="3"/>
  <c r="W16" i="3"/>
  <c r="F16" i="3"/>
  <c r="F17" i="3" s="1"/>
  <c r="F10" i="9" s="1"/>
  <c r="H16" i="3"/>
  <c r="L16" i="3"/>
  <c r="N16" i="3"/>
  <c r="P16" i="3"/>
  <c r="R16" i="3"/>
  <c r="T16" i="3"/>
  <c r="X16" i="3"/>
  <c r="B16" i="3"/>
  <c r="C18" i="2"/>
  <c r="J16" i="3" l="1"/>
  <c r="U16" i="3" s="1"/>
  <c r="M16" i="3"/>
  <c r="C19" i="2"/>
  <c r="V16" i="3" l="1"/>
  <c r="Y16" i="3"/>
  <c r="E4" i="7"/>
  <c r="E21" i="7"/>
  <c r="E23" i="7"/>
  <c r="G4" i="7" l="1"/>
  <c r="E24" i="7"/>
  <c r="C9" i="2" s="1"/>
  <c r="H4" i="7" l="1"/>
  <c r="C11" i="2"/>
  <c r="D36" i="12"/>
  <c r="D37" i="12" s="1"/>
  <c r="P28" i="12"/>
  <c r="Q28" i="12"/>
  <c r="R28" i="12"/>
  <c r="S28" i="12"/>
  <c r="T28" i="12"/>
  <c r="U28" i="12"/>
  <c r="V28" i="12"/>
  <c r="W28" i="12"/>
  <c r="X28" i="12"/>
  <c r="Y28" i="12"/>
  <c r="O28" i="12"/>
  <c r="C28" i="12"/>
  <c r="D28" i="12"/>
  <c r="E28" i="12"/>
  <c r="F28" i="12"/>
  <c r="H28" i="12"/>
  <c r="I28" i="12"/>
  <c r="J28" i="12"/>
  <c r="K28" i="12"/>
  <c r="L28" i="12"/>
  <c r="M28" i="12"/>
  <c r="N28" i="12"/>
  <c r="B28" i="12"/>
  <c r="Q27" i="12"/>
  <c r="R27" i="12"/>
  <c r="S27" i="12"/>
  <c r="T27" i="12"/>
  <c r="U27" i="12"/>
  <c r="V27" i="12"/>
  <c r="W27" i="12"/>
  <c r="X27" i="12"/>
  <c r="Y27" i="12"/>
  <c r="P27" i="12"/>
  <c r="C27" i="12"/>
  <c r="D27" i="12"/>
  <c r="E27" i="12"/>
  <c r="F27" i="12"/>
  <c r="G27" i="12"/>
  <c r="H27" i="12"/>
  <c r="I27" i="12"/>
  <c r="J27" i="12"/>
  <c r="K27" i="12"/>
  <c r="L27" i="12"/>
  <c r="M27" i="12"/>
  <c r="N27" i="12"/>
  <c r="O27" i="12"/>
  <c r="B27" i="12"/>
  <c r="R26" i="12"/>
  <c r="S26" i="12"/>
  <c r="T26" i="12"/>
  <c r="U26" i="12"/>
  <c r="V26" i="12"/>
  <c r="W26" i="12"/>
  <c r="X26" i="12"/>
  <c r="Y26" i="12"/>
  <c r="Q26" i="12"/>
  <c r="C26" i="12"/>
  <c r="D26" i="12"/>
  <c r="E26" i="12"/>
  <c r="F26" i="12"/>
  <c r="G26" i="12"/>
  <c r="H26" i="12"/>
  <c r="I26" i="12"/>
  <c r="J26" i="12"/>
  <c r="K26" i="12"/>
  <c r="L26" i="12"/>
  <c r="M26" i="12"/>
  <c r="N26" i="12"/>
  <c r="O26" i="12"/>
  <c r="P26" i="12"/>
  <c r="B26" i="12"/>
  <c r="S25" i="12"/>
  <c r="T25" i="12"/>
  <c r="U25" i="12"/>
  <c r="V25" i="12"/>
  <c r="W25" i="12"/>
  <c r="X25" i="12"/>
  <c r="Y25" i="12"/>
  <c r="R25" i="12"/>
  <c r="C25" i="12"/>
  <c r="D25" i="12"/>
  <c r="E25" i="12"/>
  <c r="F25" i="12"/>
  <c r="G25" i="12"/>
  <c r="H25" i="12"/>
  <c r="I25" i="12"/>
  <c r="J25" i="12"/>
  <c r="K25" i="12"/>
  <c r="L25" i="12"/>
  <c r="M25" i="12"/>
  <c r="N25" i="12"/>
  <c r="O25" i="12"/>
  <c r="P25" i="12"/>
  <c r="Q25" i="12"/>
  <c r="B25" i="12"/>
  <c r="T24" i="12"/>
  <c r="U24" i="12"/>
  <c r="V24" i="12"/>
  <c r="W24" i="12"/>
  <c r="X24" i="12"/>
  <c r="Y24" i="12"/>
  <c r="S24" i="12"/>
  <c r="C24" i="12"/>
  <c r="D24" i="12"/>
  <c r="E24" i="12"/>
  <c r="F24" i="12"/>
  <c r="G24" i="12"/>
  <c r="H24" i="12"/>
  <c r="I24" i="12"/>
  <c r="J24" i="12"/>
  <c r="K24" i="12"/>
  <c r="L24" i="12"/>
  <c r="M24" i="12"/>
  <c r="N24" i="12"/>
  <c r="O24" i="12"/>
  <c r="P24" i="12"/>
  <c r="Q24" i="12"/>
  <c r="R24" i="12"/>
  <c r="U23" i="12"/>
  <c r="V23" i="12"/>
  <c r="W23" i="12"/>
  <c r="X23" i="12"/>
  <c r="Y23" i="12"/>
  <c r="T23" i="12"/>
  <c r="D23" i="12"/>
  <c r="E23" i="12"/>
  <c r="F23" i="12"/>
  <c r="G23" i="12"/>
  <c r="H23" i="12"/>
  <c r="I23" i="12"/>
  <c r="J23" i="12"/>
  <c r="K23" i="12"/>
  <c r="L23" i="12"/>
  <c r="M23" i="12"/>
  <c r="N23" i="12"/>
  <c r="O23" i="12"/>
  <c r="P23" i="12"/>
  <c r="Q23" i="12"/>
  <c r="R23" i="12"/>
  <c r="S23" i="12"/>
  <c r="V22" i="12"/>
  <c r="W22" i="12"/>
  <c r="X22" i="12"/>
  <c r="Y22" i="12"/>
  <c r="U22" i="12"/>
  <c r="E22" i="12"/>
  <c r="F22" i="12"/>
  <c r="G22" i="12"/>
  <c r="H22" i="12"/>
  <c r="I22" i="12"/>
  <c r="J22" i="12"/>
  <c r="K22" i="12"/>
  <c r="L22" i="12"/>
  <c r="M22" i="12"/>
  <c r="N22" i="12"/>
  <c r="O22" i="12"/>
  <c r="P22" i="12"/>
  <c r="Q22" i="12"/>
  <c r="R22" i="12"/>
  <c r="S22" i="12"/>
  <c r="T22" i="12"/>
  <c r="W21" i="12"/>
  <c r="X21" i="12"/>
  <c r="Y21" i="12"/>
  <c r="V21" i="12"/>
  <c r="F21" i="12"/>
  <c r="G21" i="12"/>
  <c r="H21" i="12"/>
  <c r="I21" i="12"/>
  <c r="J21" i="12"/>
  <c r="K21" i="12"/>
  <c r="L21" i="12"/>
  <c r="M21" i="12"/>
  <c r="N21" i="12"/>
  <c r="O21" i="12"/>
  <c r="P21" i="12"/>
  <c r="Q21" i="12"/>
  <c r="R21" i="12"/>
  <c r="S21" i="12"/>
  <c r="T21" i="12"/>
  <c r="U21" i="12"/>
  <c r="B21" i="12"/>
  <c r="X20" i="12"/>
  <c r="Y20" i="12"/>
  <c r="W20" i="12"/>
  <c r="X19" i="12"/>
  <c r="C20" i="12"/>
  <c r="G20" i="12"/>
  <c r="H20" i="12"/>
  <c r="I20" i="12"/>
  <c r="J20" i="12"/>
  <c r="K20" i="12"/>
  <c r="L20" i="12"/>
  <c r="M20" i="12"/>
  <c r="N20" i="12"/>
  <c r="O20" i="12"/>
  <c r="P20" i="12"/>
  <c r="Q20" i="12"/>
  <c r="R20" i="12"/>
  <c r="S20" i="12"/>
  <c r="T20" i="12"/>
  <c r="U20" i="12"/>
  <c r="V20" i="12"/>
  <c r="B20" i="12"/>
  <c r="Y19" i="12"/>
  <c r="C19" i="12"/>
  <c r="D19" i="12"/>
  <c r="H19" i="12"/>
  <c r="I19" i="12"/>
  <c r="J19" i="12"/>
  <c r="K19" i="12"/>
  <c r="L19" i="12"/>
  <c r="M19" i="12"/>
  <c r="N19" i="12"/>
  <c r="O19" i="12"/>
  <c r="P19" i="12"/>
  <c r="Q19" i="12"/>
  <c r="R19" i="12"/>
  <c r="S19" i="12"/>
  <c r="T19" i="12"/>
  <c r="U19" i="12"/>
  <c r="V19" i="12"/>
  <c r="W19" i="12"/>
  <c r="B19" i="12"/>
  <c r="C18" i="12"/>
  <c r="D18" i="12"/>
  <c r="E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V18" i="12"/>
  <c r="W18" i="12"/>
  <c r="X18" i="12"/>
  <c r="B18" i="12"/>
  <c r="Z3" i="4"/>
  <c r="Y2" i="9" s="1"/>
  <c r="Y2" i="5" s="1"/>
  <c r="Y3" i="4"/>
  <c r="X2" i="9" s="1"/>
  <c r="X2" i="5" s="1"/>
  <c r="X3" i="4"/>
  <c r="W2" i="9" s="1"/>
  <c r="W2" i="5" s="1"/>
  <c r="W3" i="4"/>
  <c r="V2" i="9" s="1"/>
  <c r="V2" i="5" s="1"/>
  <c r="V3" i="4"/>
  <c r="U2" i="9" s="1"/>
  <c r="U2" i="5" s="1"/>
  <c r="U3" i="4"/>
  <c r="T2" i="9" s="1"/>
  <c r="T2" i="5" s="1"/>
  <c r="T3" i="4"/>
  <c r="S2" i="9" s="1"/>
  <c r="S2" i="5" s="1"/>
  <c r="S3" i="4"/>
  <c r="R2" i="9" s="1"/>
  <c r="R2" i="5" s="1"/>
  <c r="R3" i="4"/>
  <c r="Q2" i="9" s="1"/>
  <c r="Q2" i="5" s="1"/>
  <c r="Q3" i="4"/>
  <c r="P2" i="9" s="1"/>
  <c r="P2" i="5" s="1"/>
  <c r="P3" i="4"/>
  <c r="O2" i="9" s="1"/>
  <c r="O2" i="5" s="1"/>
  <c r="O3" i="4"/>
  <c r="N2" i="9" s="1"/>
  <c r="N2" i="5" s="1"/>
  <c r="N3" i="4"/>
  <c r="M2" i="9" s="1"/>
  <c r="M2" i="5" s="1"/>
  <c r="M3" i="4"/>
  <c r="L2" i="9" s="1"/>
  <c r="L2" i="5" s="1"/>
  <c r="L3" i="4"/>
  <c r="K2" i="9" s="1"/>
  <c r="K2" i="5" s="1"/>
  <c r="K3" i="4"/>
  <c r="J2" i="9" s="1"/>
  <c r="J2" i="5" s="1"/>
  <c r="J3" i="4"/>
  <c r="I2" i="9" s="1"/>
  <c r="I2" i="5" s="1"/>
  <c r="I3" i="4"/>
  <c r="H2" i="9" s="1"/>
  <c r="H2" i="5" s="1"/>
  <c r="H3" i="4"/>
  <c r="G2" i="9" s="1"/>
  <c r="G2" i="5" s="1"/>
  <c r="G3" i="4"/>
  <c r="F2" i="9" s="1"/>
  <c r="F2" i="5" s="1"/>
  <c r="F3" i="4"/>
  <c r="E2" i="9" s="1"/>
  <c r="E2" i="5" s="1"/>
  <c r="E3" i="4"/>
  <c r="D2" i="9" s="1"/>
  <c r="D2" i="5" s="1"/>
  <c r="D3" i="4"/>
  <c r="C2" i="9" s="1"/>
  <c r="C2" i="5" s="1"/>
  <c r="C3" i="4"/>
  <c r="B2" i="9" s="1"/>
  <c r="B2" i="5" s="1"/>
  <c r="R8" i="4" l="1"/>
  <c r="R4" i="4"/>
  <c r="C4" i="4"/>
  <c r="C8" i="4"/>
  <c r="U8" i="4"/>
  <c r="U4" i="4"/>
  <c r="O6" i="4"/>
  <c r="Q4" i="4"/>
  <c r="I4" i="4"/>
  <c r="I8" i="4"/>
  <c r="T8" i="4"/>
  <c r="T4" i="4"/>
  <c r="P4" i="4"/>
  <c r="L8" i="4"/>
  <c r="S4" i="4"/>
  <c r="S8" i="4"/>
  <c r="D4" i="4"/>
  <c r="L13" i="3"/>
  <c r="P13" i="3"/>
  <c r="T13" i="3"/>
  <c r="X13" i="3"/>
  <c r="D13" i="3"/>
  <c r="H13" i="3"/>
  <c r="K13" i="3"/>
  <c r="O13" i="3"/>
  <c r="S13" i="3"/>
  <c r="W13" i="3"/>
  <c r="G13" i="3"/>
  <c r="B13" i="3"/>
  <c r="F13" i="3"/>
  <c r="J13" i="3"/>
  <c r="N13" i="3"/>
  <c r="R13" i="3"/>
  <c r="V13" i="3"/>
  <c r="C13" i="3"/>
  <c r="E13" i="3"/>
  <c r="I13" i="3"/>
  <c r="M13" i="3"/>
  <c r="Q13" i="3"/>
  <c r="U13" i="3"/>
  <c r="Y13" i="3"/>
  <c r="E8" i="4"/>
  <c r="E4" i="4"/>
  <c r="F38" i="12"/>
  <c r="O12" i="4" l="1"/>
  <c r="Z12" i="4"/>
  <c r="Y17" i="3" s="1"/>
  <c r="Y10" i="9" s="1"/>
  <c r="R12" i="4"/>
  <c r="D12" i="4"/>
  <c r="U12" i="4"/>
  <c r="C12" i="4"/>
  <c r="Y12" i="4"/>
  <c r="J12" i="4"/>
  <c r="I17" i="3" s="1"/>
  <c r="I10" i="9" s="1"/>
  <c r="V12" i="4"/>
  <c r="U17" i="3" s="1"/>
  <c r="U10" i="9" s="1"/>
  <c r="L12" i="4"/>
  <c r="T12" i="4"/>
  <c r="X12" i="4"/>
  <c r="M12" i="4"/>
  <c r="Q12" i="4"/>
  <c r="N12" i="4"/>
  <c r="M17" i="3" s="1"/>
  <c r="M10" i="9" s="1"/>
  <c r="K12" i="4"/>
  <c r="J17" i="3" s="1"/>
  <c r="J10" i="9" s="1"/>
  <c r="S12" i="4"/>
  <c r="W12" i="4"/>
  <c r="V17" i="3" s="1"/>
  <c r="V10" i="9" s="1"/>
  <c r="P12" i="4"/>
  <c r="I12" i="4"/>
  <c r="C13" i="9"/>
  <c r="N13" i="9"/>
  <c r="K13" i="9"/>
  <c r="D13" i="9"/>
  <c r="T13" i="9"/>
  <c r="Q13" i="9"/>
  <c r="E13" i="9"/>
  <c r="V13" i="9"/>
  <c r="J13" i="9"/>
  <c r="B13" i="9"/>
  <c r="W13" i="9"/>
  <c r="P13" i="9"/>
  <c r="Y13" i="9"/>
  <c r="M13" i="9"/>
  <c r="R13" i="9"/>
  <c r="S13" i="9"/>
  <c r="H13" i="9"/>
  <c r="X13" i="9"/>
  <c r="L13" i="9"/>
  <c r="U13" i="9"/>
  <c r="I13" i="9"/>
  <c r="F13" i="9"/>
  <c r="G13" i="9"/>
  <c r="O13" i="9"/>
  <c r="E12" i="4"/>
  <c r="E11" i="9"/>
  <c r="G11" i="9"/>
  <c r="F11" i="9"/>
  <c r="Y11" i="9" l="1"/>
  <c r="J11" i="9"/>
  <c r="I11" i="9"/>
  <c r="M11" i="9"/>
  <c r="V11" i="9"/>
  <c r="U11" i="9"/>
  <c r="N17" i="3"/>
  <c r="U3" i="5"/>
  <c r="U6" i="5" s="1"/>
  <c r="S3" i="5"/>
  <c r="S6" i="5" s="1"/>
  <c r="Q3" i="5"/>
  <c r="Q6" i="5" s="1"/>
  <c r="O3" i="5"/>
  <c r="O6" i="5" s="1"/>
  <c r="M3" i="5"/>
  <c r="M6" i="5" s="1"/>
  <c r="C3" i="5"/>
  <c r="C6" i="5" s="1"/>
  <c r="V3" i="5"/>
  <c r="V6" i="5" s="1"/>
  <c r="T3" i="5"/>
  <c r="T6" i="5" s="1"/>
  <c r="R3" i="5"/>
  <c r="R6" i="5" s="1"/>
  <c r="P3" i="5"/>
  <c r="P6" i="5" s="1"/>
  <c r="N3" i="5"/>
  <c r="N6" i="5" s="1"/>
  <c r="D3" i="5"/>
  <c r="D6" i="5" s="1"/>
  <c r="K3" i="5"/>
  <c r="K6" i="5" s="1"/>
  <c r="I3" i="5"/>
  <c r="I6" i="5" s="1"/>
  <c r="G3" i="5"/>
  <c r="G6" i="5" s="1"/>
  <c r="E3" i="5"/>
  <c r="E6" i="5" s="1"/>
  <c r="L3" i="5"/>
  <c r="L6" i="5" s="1"/>
  <c r="J3" i="5"/>
  <c r="J6" i="5" s="1"/>
  <c r="H3" i="5"/>
  <c r="H6" i="5" s="1"/>
  <c r="F3" i="5"/>
  <c r="F6" i="5" s="1"/>
  <c r="Y3" i="5"/>
  <c r="Y6" i="5" s="1"/>
  <c r="X3" i="5"/>
  <c r="X6" i="5" s="1"/>
  <c r="W3" i="5"/>
  <c r="W6" i="5" s="1"/>
  <c r="B3" i="5"/>
  <c r="B6" i="5" s="1"/>
  <c r="I7" i="11"/>
  <c r="C22" i="6" s="1"/>
  <c r="N10" i="9" l="1"/>
  <c r="N11" i="9" s="1"/>
  <c r="T17" i="3"/>
  <c r="X17" i="3"/>
  <c r="C17" i="3"/>
  <c r="H17" i="3"/>
  <c r="K17" i="3"/>
  <c r="R17" i="3"/>
  <c r="P17" i="3"/>
  <c r="S17" i="3"/>
  <c r="L17" i="3"/>
  <c r="E3" i="3"/>
  <c r="B17" i="3"/>
  <c r="W17" i="3"/>
  <c r="O17" i="3"/>
  <c r="Q17" i="3"/>
  <c r="D17" i="3"/>
  <c r="H11" i="9" l="1"/>
  <c r="H10" i="9"/>
  <c r="C10" i="9"/>
  <c r="C11" i="9" s="1"/>
  <c r="C4" i="5" s="1"/>
  <c r="C13" i="5" s="1"/>
  <c r="S10" i="9"/>
  <c r="S11" i="9" s="1"/>
  <c r="S4" i="5" s="1"/>
  <c r="S13" i="5" s="1"/>
  <c r="T10" i="9"/>
  <c r="T11" i="9" s="1"/>
  <c r="T4" i="5" s="1"/>
  <c r="T13" i="5" s="1"/>
  <c r="D10" i="9"/>
  <c r="D11" i="9" s="1"/>
  <c r="D4" i="5" s="1"/>
  <c r="D13" i="5" s="1"/>
  <c r="Q10" i="9"/>
  <c r="Q11" i="9" s="1"/>
  <c r="Q4" i="5" s="1"/>
  <c r="Q13" i="5" s="1"/>
  <c r="X10" i="9"/>
  <c r="X11" i="9" s="1"/>
  <c r="X4" i="5" s="1"/>
  <c r="X13" i="5" s="1"/>
  <c r="O10" i="9"/>
  <c r="O11" i="9" s="1"/>
  <c r="O4" i="5" s="1"/>
  <c r="O13" i="5" s="1"/>
  <c r="P10" i="9"/>
  <c r="P11" i="9" s="1"/>
  <c r="P4" i="5" s="1"/>
  <c r="P13" i="5" s="1"/>
  <c r="W11" i="9"/>
  <c r="W4" i="5" s="1"/>
  <c r="W13" i="5" s="1"/>
  <c r="W10" i="9"/>
  <c r="R10" i="9"/>
  <c r="R11" i="9" s="1"/>
  <c r="R4" i="5" s="1"/>
  <c r="R13" i="5" s="1"/>
  <c r="L10" i="9"/>
  <c r="L11" i="9" s="1"/>
  <c r="L4" i="5" s="1"/>
  <c r="L13" i="5" s="1"/>
  <c r="B10" i="9"/>
  <c r="B11" i="9" s="1"/>
  <c r="B4" i="5" s="1"/>
  <c r="K10" i="9"/>
  <c r="K11" i="9" s="1"/>
  <c r="K4" i="5" s="1"/>
  <c r="K13" i="5" s="1"/>
  <c r="E4" i="5"/>
  <c r="E13" i="5" s="1"/>
  <c r="F4" i="5"/>
  <c r="F13" i="5" s="1"/>
  <c r="G4" i="5"/>
  <c r="G13" i="5" s="1"/>
  <c r="H4" i="5"/>
  <c r="H13" i="5" s="1"/>
  <c r="I4" i="5"/>
  <c r="I13" i="5" s="1"/>
  <c r="J4" i="5"/>
  <c r="J13" i="5" s="1"/>
  <c r="M4" i="5"/>
  <c r="M13" i="5" s="1"/>
  <c r="N4" i="5"/>
  <c r="N13" i="5" s="1"/>
  <c r="U4" i="5"/>
  <c r="U13" i="5" s="1"/>
  <c r="V4" i="5"/>
  <c r="V13" i="5" s="1"/>
  <c r="Y4" i="5"/>
  <c r="Y13" i="5" s="1"/>
  <c r="B13" i="5" l="1"/>
  <c r="B5" i="5"/>
  <c r="B7" i="5" s="1"/>
  <c r="B12" i="5" s="1"/>
  <c r="B11" i="5" s="1"/>
  <c r="C14" i="2"/>
  <c r="C22" i="2" s="1"/>
  <c r="C5" i="5"/>
  <c r="D5" i="5"/>
  <c r="D7" i="5" s="1"/>
  <c r="E5" i="5"/>
  <c r="E7" i="5" s="1"/>
  <c r="F5" i="5"/>
  <c r="F7" i="5" s="1"/>
  <c r="G5" i="5"/>
  <c r="G7" i="5" s="1"/>
  <c r="H5" i="5"/>
  <c r="H7" i="5" s="1"/>
  <c r="I5" i="5"/>
  <c r="I7" i="5" s="1"/>
  <c r="J5" i="5"/>
  <c r="J7" i="5" s="1"/>
  <c r="K5" i="5"/>
  <c r="K7" i="5" s="1"/>
  <c r="L5" i="5"/>
  <c r="L7" i="5" s="1"/>
  <c r="M5" i="5"/>
  <c r="M7" i="5" s="1"/>
  <c r="N5" i="5"/>
  <c r="N7" i="5" s="1"/>
  <c r="O5" i="5"/>
  <c r="O7" i="5" s="1"/>
  <c r="P5" i="5"/>
  <c r="P7" i="5" s="1"/>
  <c r="Q5" i="5"/>
  <c r="Q7" i="5" s="1"/>
  <c r="R5" i="5"/>
  <c r="R7" i="5" s="1"/>
  <c r="S5" i="5"/>
  <c r="S7" i="5" s="1"/>
  <c r="T5" i="5"/>
  <c r="T7" i="5" s="1"/>
  <c r="U5" i="5"/>
  <c r="U7" i="5" s="1"/>
  <c r="V5" i="5"/>
  <c r="V7" i="5" s="1"/>
  <c r="W5" i="5"/>
  <c r="W7" i="5" s="1"/>
  <c r="X5" i="5"/>
  <c r="X7" i="5" s="1"/>
  <c r="Y5" i="5"/>
  <c r="Y7" i="5" s="1"/>
  <c r="B8" i="5" l="1"/>
  <c r="C7" i="5"/>
  <c r="I10" i="11" s="1"/>
  <c r="B9" i="5"/>
  <c r="C19" i="6"/>
  <c r="C15" i="6"/>
  <c r="C18" i="6"/>
  <c r="C16" i="6"/>
  <c r="C14" i="6"/>
  <c r="Z13" i="5"/>
  <c r="C8" i="6" s="1"/>
  <c r="C20" i="6"/>
  <c r="C17" i="6"/>
  <c r="C13" i="6"/>
  <c r="C24" i="6"/>
  <c r="C12" i="6"/>
  <c r="B10" i="5" l="1"/>
  <c r="C11" i="6"/>
  <c r="I8" i="11"/>
  <c r="C23" i="6"/>
  <c r="C7" i="6" s="1"/>
  <c r="F5" i="6"/>
  <c r="C8" i="5"/>
  <c r="D8" i="5" s="1"/>
  <c r="E8" i="5" s="1"/>
  <c r="F8" i="5" s="1"/>
  <c r="G8" i="5" s="1"/>
  <c r="H8" i="5" s="1"/>
  <c r="I8" i="5" s="1"/>
  <c r="J8" i="5" s="1"/>
  <c r="K8" i="5" s="1"/>
  <c r="L8" i="5" s="1"/>
  <c r="M8" i="5" s="1"/>
  <c r="N8" i="5" s="1"/>
  <c r="O8" i="5" s="1"/>
  <c r="P8" i="5" s="1"/>
  <c r="Q8" i="5" s="1"/>
  <c r="R8" i="5" s="1"/>
  <c r="S8" i="5" s="1"/>
  <c r="T8" i="5" s="1"/>
  <c r="U8" i="5" s="1"/>
  <c r="V8" i="5" s="1"/>
  <c r="W8" i="5" s="1"/>
  <c r="X8" i="5" s="1"/>
  <c r="Y8" i="5" s="1"/>
  <c r="C12" i="5"/>
  <c r="D12" i="5" s="1"/>
  <c r="E12" i="5" s="1"/>
  <c r="F12" i="5" s="1"/>
  <c r="G12" i="5" s="1"/>
  <c r="H12" i="5" s="1"/>
  <c r="I12" i="5" s="1"/>
  <c r="J12" i="5" s="1"/>
  <c r="K12" i="5" s="1"/>
  <c r="L12" i="5" s="1"/>
  <c r="M12" i="5" s="1"/>
  <c r="N12" i="5" s="1"/>
  <c r="O12" i="5" s="1"/>
  <c r="P12" i="5" s="1"/>
  <c r="Q12" i="5" s="1"/>
  <c r="R12" i="5" s="1"/>
  <c r="S12" i="5" s="1"/>
  <c r="T12" i="5" s="1"/>
  <c r="U12" i="5" s="1"/>
  <c r="V12" i="5" s="1"/>
  <c r="W12" i="5" s="1"/>
  <c r="X12" i="5" s="1"/>
  <c r="Y12" i="5" s="1"/>
  <c r="C9" i="5"/>
  <c r="C10" i="5" s="1"/>
  <c r="C5" i="6" l="1"/>
  <c r="C6" i="6" s="1"/>
  <c r="C11" i="5"/>
  <c r="D9" i="5"/>
  <c r="E9" i="5" s="1"/>
  <c r="D11" i="5"/>
  <c r="D10" i="5" l="1"/>
  <c r="E11" i="5"/>
  <c r="F9" i="5"/>
  <c r="E10" i="5"/>
  <c r="F11" i="5" l="1"/>
  <c r="G9" i="5"/>
  <c r="F10" i="5"/>
  <c r="G11" i="5" l="1"/>
  <c r="G10" i="5"/>
  <c r="H9" i="5"/>
  <c r="H11" i="5" l="1"/>
  <c r="I9" i="5"/>
  <c r="H10" i="5"/>
  <c r="I11" i="5" l="1"/>
  <c r="J9" i="5"/>
  <c r="I10" i="5"/>
  <c r="J11" i="5" l="1"/>
  <c r="K9" i="5"/>
  <c r="J10" i="5"/>
  <c r="K11" i="5" l="1"/>
  <c r="K10" i="5"/>
  <c r="L9" i="5"/>
  <c r="L11" i="5" l="1"/>
  <c r="M9" i="5"/>
  <c r="L10" i="5"/>
  <c r="M11" i="5" l="1"/>
  <c r="N9" i="5"/>
  <c r="M10" i="5"/>
  <c r="N11" i="5" l="1"/>
  <c r="O9" i="5"/>
  <c r="N10" i="5"/>
  <c r="O11" i="5" l="1"/>
  <c r="O10" i="5"/>
  <c r="P9" i="5"/>
  <c r="P11" i="5" l="1"/>
  <c r="Q9" i="5"/>
  <c r="P10" i="5"/>
  <c r="Q11" i="5" l="1"/>
  <c r="R9" i="5"/>
  <c r="Q10" i="5"/>
  <c r="R11" i="5" l="1"/>
  <c r="S9" i="5"/>
  <c r="R10" i="5"/>
  <c r="S11" i="5" l="1"/>
  <c r="S10" i="5"/>
  <c r="T9" i="5"/>
  <c r="T11" i="5" l="1"/>
  <c r="U9" i="5"/>
  <c r="T10" i="5"/>
  <c r="U11" i="5" l="1"/>
  <c r="V9" i="5"/>
  <c r="U10" i="5"/>
  <c r="V11" i="5" l="1"/>
  <c r="W9" i="5"/>
  <c r="V10" i="5"/>
  <c r="W11" i="5" l="1"/>
  <c r="W10" i="5"/>
  <c r="X9" i="5"/>
  <c r="Y11" i="5" l="1"/>
  <c r="X11" i="5"/>
  <c r="Y9" i="5"/>
  <c r="I9" i="11" s="1"/>
  <c r="X10" i="5"/>
  <c r="C4" i="6" l="1"/>
  <c r="Y10" i="5"/>
</calcChain>
</file>

<file path=xl/sharedStrings.xml><?xml version="1.0" encoding="utf-8"?>
<sst xmlns="http://schemas.openxmlformats.org/spreadsheetml/2006/main" count="508" uniqueCount="207">
  <si>
    <t>Инвестиции на открытие</t>
  </si>
  <si>
    <t>Ежемесячные затраты</t>
  </si>
  <si>
    <t>1 месяц</t>
  </si>
  <si>
    <t>2 месяц</t>
  </si>
  <si>
    <t>3 месяц</t>
  </si>
  <si>
    <t>4 месяц</t>
  </si>
  <si>
    <t>5 месяц</t>
  </si>
  <si>
    <t>6 месяц</t>
  </si>
  <si>
    <t>7 месяц</t>
  </si>
  <si>
    <t>8 месяц</t>
  </si>
  <si>
    <t>9 месяц</t>
  </si>
  <si>
    <t>10 месяц</t>
  </si>
  <si>
    <t>11 месяц</t>
  </si>
  <si>
    <t>12 месяц</t>
  </si>
  <si>
    <t>Итого</t>
  </si>
  <si>
    <t>Финансовая модель</t>
  </si>
  <si>
    <t>Выручка(доход)</t>
  </si>
  <si>
    <t>Инвестзатраты</t>
  </si>
  <si>
    <t>Чистая прибыль нарастающим итогом</t>
  </si>
  <si>
    <t>Чистая прибыль</t>
  </si>
  <si>
    <t>Валовый доход</t>
  </si>
  <si>
    <t>Основные показатели</t>
  </si>
  <si>
    <t>Сумма первоначальных инвестиций</t>
  </si>
  <si>
    <t>Средняя ежемесячная прибыль</t>
  </si>
  <si>
    <t>Показатель</t>
  </si>
  <si>
    <t>Ставка дисконтирования, %</t>
  </si>
  <si>
    <t>Дисконтированный срок окупаемости – DPB, мес.</t>
  </si>
  <si>
    <t>Индекс прибыльности – PI</t>
  </si>
  <si>
    <t>Внутренняя норма рентабельности – IRR,%</t>
  </si>
  <si>
    <t>Значение</t>
  </si>
  <si>
    <t>Источники дохода</t>
  </si>
  <si>
    <t>Показатели</t>
  </si>
  <si>
    <t>13 месяц</t>
  </si>
  <si>
    <t>14 месяц</t>
  </si>
  <si>
    <t>15 месяц</t>
  </si>
  <si>
    <t>16 месяц</t>
  </si>
  <si>
    <t>17 месяц</t>
  </si>
  <si>
    <t>18 месяц</t>
  </si>
  <si>
    <t>19 месяц</t>
  </si>
  <si>
    <t>20 месяц</t>
  </si>
  <si>
    <t>21 месяц</t>
  </si>
  <si>
    <t>22 месяц</t>
  </si>
  <si>
    <t>23 месяц</t>
  </si>
  <si>
    <t>24 месяц</t>
  </si>
  <si>
    <t>Выручка</t>
  </si>
  <si>
    <t>Расчет окупаемости компании, руб.</t>
  </si>
  <si>
    <t>Срок окупаемости, мес.</t>
  </si>
  <si>
    <t>PV1 год 1</t>
  </si>
  <si>
    <t>PV2 месяц 13</t>
  </si>
  <si>
    <t>PV3 месяц 14</t>
  </si>
  <si>
    <t>PV4 месяц 15</t>
  </si>
  <si>
    <t>PV5 месяц 16</t>
  </si>
  <si>
    <t>PV6 месяц 17</t>
  </si>
  <si>
    <t>PV7 месяц 18</t>
  </si>
  <si>
    <t>PV8 месяц 19</t>
  </si>
  <si>
    <t>PV9 месяц 20</t>
  </si>
  <si>
    <t>положительное значение</t>
  </si>
  <si>
    <t>PV1 год 2</t>
  </si>
  <si>
    <t>Доходы 1</t>
  </si>
  <si>
    <t>Доходы 2</t>
  </si>
  <si>
    <t>Наименование</t>
  </si>
  <si>
    <t>Количество</t>
  </si>
  <si>
    <t>Цена за 1 шт.</t>
  </si>
  <si>
    <t>Обшая сумма</t>
  </si>
  <si>
    <t>Затраты, руб.</t>
  </si>
  <si>
    <t>Точка безубыточности (мес)</t>
  </si>
  <si>
    <t>Срок окупаемости (мес)</t>
  </si>
  <si>
    <t>Итого:</t>
  </si>
  <si>
    <t>Редактируемые показатели*</t>
  </si>
  <si>
    <t>Продажи</t>
  </si>
  <si>
    <t>Непредвиденные расходы</t>
  </si>
  <si>
    <t xml:space="preserve">Месяц запуска продаж </t>
  </si>
  <si>
    <t>Средняя стоимость одного квадратного метра в аренду</t>
  </si>
  <si>
    <t>Коэффициент сезонности</t>
  </si>
  <si>
    <t xml:space="preserve">Январь 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</si>
  <si>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</si>
  <si>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</si>
  <si>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</si>
  <si>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</si>
  <si>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</si>
  <si>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</si>
  <si>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</si>
  <si>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</si>
  <si>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</si>
  <si>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</si>
  <si>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</si>
  <si>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Коэффициент роста продаж с момента открытия</t>
  </si>
  <si>
    <t>Январь</t>
  </si>
  <si>
    <t>Расчет амортизации</t>
  </si>
  <si>
    <t xml:space="preserve">Период эксплуатации, лет </t>
  </si>
  <si>
    <t>Норма амортизирования </t>
  </si>
  <si>
    <t>Сумма амортизации</t>
  </si>
  <si>
    <t>Амортизационные отчисления каждый месяц</t>
  </si>
  <si>
    <t>Амортизация</t>
  </si>
  <si>
    <t xml:space="preserve">Закупка товара </t>
  </si>
  <si>
    <t>Закупка оборудования</t>
  </si>
  <si>
    <t>Реклама</t>
  </si>
  <si>
    <t>Бухгалтерия (удаленная)</t>
  </si>
  <si>
    <t xml:space="preserve">Реклама </t>
  </si>
  <si>
    <t xml:space="preserve">Затраты </t>
  </si>
  <si>
    <t>Количество сотрудников</t>
  </si>
  <si>
    <t>Страховые взносы</t>
  </si>
  <si>
    <t>Итого ФОТ</t>
  </si>
  <si>
    <t>ФОТ (включая страховые взносы)</t>
  </si>
  <si>
    <t>Оклад</t>
  </si>
  <si>
    <t>Сумма</t>
  </si>
  <si>
    <t>Рекламные материалы</t>
  </si>
  <si>
    <t>ФОТ (включая отчисления)</t>
  </si>
  <si>
    <t>Бухгалтерия</t>
  </si>
  <si>
    <t>Налоги (УСН 6%)</t>
  </si>
  <si>
    <t>Амортизация оборудования</t>
  </si>
  <si>
    <t>Коммунальные расходы</t>
  </si>
  <si>
    <t>Рентабельность продаж, %</t>
  </si>
  <si>
    <t>В сумме с премиальной частью</t>
  </si>
  <si>
    <t>Постоянные расходы</t>
  </si>
  <si>
    <t>Постоянная часть ФОТ</t>
  </si>
  <si>
    <t>Регистрация, включая получение всех разрешений</t>
  </si>
  <si>
    <t>Средняя з/п в месяц на сотрудника</t>
  </si>
  <si>
    <t>"Разгон"</t>
  </si>
  <si>
    <t xml:space="preserve">Арендная плата </t>
  </si>
  <si>
    <t>Посуда кухни</t>
  </si>
  <si>
    <t>Посуда ресторан</t>
  </si>
  <si>
    <t>Гриль многофункциональный</t>
  </si>
  <si>
    <t>Плита для готовки</t>
  </si>
  <si>
    <t>Микроволновка</t>
  </si>
  <si>
    <t>Бойлер с термофункцией на 40 л</t>
  </si>
  <si>
    <t>Шашлычницы</t>
  </si>
  <si>
    <t>Дизайн-проект помещения (планировка размещения палаток и проект коммуникаций)</t>
  </si>
  <si>
    <t>Прочее (ГСМ на вермя ремонта, прочие расходы)</t>
  </si>
  <si>
    <t>Площадь участка, га</t>
  </si>
  <si>
    <t>Управляющий</t>
  </si>
  <si>
    <t>Персонал кухни (повар+официант)</t>
  </si>
  <si>
    <t>Обслуживающий персонал (администратор+охрана+клининг)</t>
  </si>
  <si>
    <t>Администратор</t>
  </si>
  <si>
    <t>Охранник</t>
  </si>
  <si>
    <t>Повар</t>
  </si>
  <si>
    <t>Официант</t>
  </si>
  <si>
    <t>Горничная</t>
  </si>
  <si>
    <t>Доля с продаж прочего персонала, %</t>
  </si>
  <si>
    <t>Доля с продаж управляющего, %</t>
  </si>
  <si>
    <t>Прочий персонал</t>
  </si>
  <si>
    <t xml:space="preserve">Аренда </t>
  </si>
  <si>
    <t>Прочие расходы  (в т.ч. аренда оборудования для Wi-Fi)</t>
  </si>
  <si>
    <t>Продаж аренда площадки для пикника в среднем в месяц</t>
  </si>
  <si>
    <t>Наценка (в процентах) аренда площадки для пикника</t>
  </si>
  <si>
    <t>Себестоимость аренда площадки для пикника</t>
  </si>
  <si>
    <t>Продаж по кухне в среднем в месяц</t>
  </si>
  <si>
    <t>Наценка (в процентах) продаж по кухне</t>
  </si>
  <si>
    <t>Себестоимость продажи по кухне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</si>
  <si>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</si>
  <si>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</si>
  <si>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</si>
  <si>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</si>
  <si>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</si>
  <si>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</si>
  <si>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</si>
  <si>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</si>
  <si>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</si>
  <si>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</si>
  <si>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</si>
  <si>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</si>
  <si>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</si>
  <si>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Коммунальные услуги в среднем в месяц</t>
  </si>
  <si>
    <t>Расшифровка строки "Коммунальные расходы"</t>
  </si>
  <si>
    <t>Расшифровка строки "Непредвиденные расходы"</t>
  </si>
  <si>
    <t>вывоз ТБО</t>
  </si>
  <si>
    <t xml:space="preserve">оплата услуг "бочки" </t>
  </si>
  <si>
    <t>дрова</t>
  </si>
  <si>
    <t>моющие</t>
  </si>
  <si>
    <t>уборочный инвентарь</t>
  </si>
  <si>
    <t>Оборудование лагеря</t>
  </si>
  <si>
    <t>Обустройство коммуникаций</t>
  </si>
  <si>
    <t>Оборудование кухни и ресторана</t>
  </si>
  <si>
    <t>Продаж аренда места в глэмпинге в среднем в месяц</t>
  </si>
  <si>
    <t>БИЗНЕС-ПЛАН ГЛЭМПИНГА</t>
  </si>
  <si>
    <t>Глэмпинг всесезонный с жилой квадратурой в 19 кв.м. и крыльцом 8 кв.м.</t>
  </si>
  <si>
    <t>Деревянный настил для зоны кэмпинга</t>
  </si>
  <si>
    <t>Сафари тент для помещения ресторана (всесезонный)</t>
  </si>
  <si>
    <t xml:space="preserve">Дом админимстрации </t>
  </si>
  <si>
    <t>Беседки с мангальной зоной и мебелью</t>
  </si>
  <si>
    <t>Парковка на 10 машин</t>
  </si>
  <si>
    <t>Камины для обогрева домов</t>
  </si>
  <si>
    <t xml:space="preserve"> Водоснабжение от аретезианской скважины</t>
  </si>
  <si>
    <t>Ремонт (подготовка участка под размещение глэмпов, возведение ограды.)</t>
  </si>
  <si>
    <t>Продажи, тг.</t>
  </si>
  <si>
    <t>Вывески, указатели</t>
  </si>
  <si>
    <t>Аренда временного места жительства строительных бригад</t>
  </si>
  <si>
    <t>Продаж аренды домов в среднем в месяц</t>
  </si>
  <si>
    <t>Цена аренды дома в глэмпинге</t>
  </si>
  <si>
    <t>Продаж туристических программ в среднем в месяц</t>
  </si>
  <si>
    <t>Цена на зоны для пикника и места кемпинга</t>
  </si>
  <si>
    <t>Продаж зон для пикника и мест в кемпинге в ср. в мес.</t>
  </si>
  <si>
    <t>Цена по кухне (средний чек)</t>
  </si>
  <si>
    <t xml:space="preserve">Средняя цена тур. программ </t>
  </si>
  <si>
    <t>Линия электроснабжения базы</t>
  </si>
  <si>
    <t xml:space="preserve">оплата электроенергии </t>
  </si>
  <si>
    <t xml:space="preserve">прочие расходы </t>
  </si>
  <si>
    <t xml:space="preserve">расходные для ремонта </t>
  </si>
  <si>
    <t>Чистый дисконтированный доход – NPV, тг.</t>
  </si>
  <si>
    <t>организация транспорта до доставке персонала</t>
  </si>
  <si>
    <t>Себестоимость  тур. Программ</t>
  </si>
  <si>
    <t>Баня 3*4 кв. м.</t>
  </si>
  <si>
    <t>Закупка товаров, продутов ресторана</t>
  </si>
  <si>
    <t>Мебель (столы, стойки, раздаточные столы и пр)</t>
  </si>
  <si>
    <t>Себестоимость аренды дома в глэмпинге</t>
  </si>
  <si>
    <t>Наценка (в процентах) аренда дома в глемпинге</t>
  </si>
  <si>
    <t xml:space="preserve">Наценка (в процентах) тур. программ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</si>
</sst>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0.0%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horizontal="center"/>
    </xf>
    <xf numFmtId="0" fontId="1" fillId="13" borderId="0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9" fontId="0" fillId="0" borderId="0" xfId="0" applyNumberFormat="1"/>
    <xf numFmtId="0" fontId="0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10" fillId="16" borderId="1" xfId="0" applyFont="1" applyFill="1" applyBorder="1" applyAlignment="1">
      <alignment vertical="center"/>
    </xf>
    <xf numFmtId="0" fontId="8" fillId="16" borderId="1" xfId="0" applyFont="1" applyFill="1" applyBorder="1" applyAlignment="1">
      <alignment horizontal="center" vertical="center" wrapText="1"/>
    </xf>
    <xf numFmtId="3" fontId="8" fillId="16" borderId="1" xfId="0" applyNumberFormat="1" applyFont="1" applyFill="1" applyBorder="1" applyAlignment="1">
      <alignment horizontal="center" vertical="center" wrapText="1"/>
    </xf>
    <xf numFmtId="3" fontId="10" fillId="16" borderId="1" xfId="0" applyNumberFormat="1" applyFont="1" applyFill="1" applyBorder="1" applyAlignment="1">
      <alignment horizontal="center" vertical="center"/>
    </xf>
    <xf numFmtId="0" fontId="11" fillId="16" borderId="1" xfId="0" applyFont="1" applyFill="1" applyBorder="1" applyAlignment="1">
      <alignment vertical="center"/>
    </xf>
    <xf numFmtId="0" fontId="9" fillId="16" borderId="1" xfId="0" applyFont="1" applyFill="1" applyBorder="1" applyAlignment="1">
      <alignment horizontal="center" vertical="center"/>
    </xf>
    <xf numFmtId="3" fontId="11" fillId="16" borderId="1" xfId="0" applyNumberFormat="1" applyFont="1" applyFill="1" applyBorder="1" applyAlignment="1">
      <alignment horizontal="center" vertical="center"/>
    </xf>
    <xf numFmtId="0" fontId="10" fillId="1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wrapText="1"/>
    </xf>
    <xf numFmtId="3" fontId="5" fillId="6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3" fontId="5" fillId="6" borderId="1" xfId="0" applyNumberFormat="1" applyFont="1" applyFill="1" applyBorder="1" applyAlignment="1">
      <alignment horizontal="center"/>
    </xf>
    <xf numFmtId="0" fontId="12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3" fontId="8" fillId="0" borderId="0" xfId="0" applyNumberFormat="1" applyFont="1"/>
    <xf numFmtId="3" fontId="1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left"/>
      <protection hidden="1"/>
    </xf>
    <xf numFmtId="3" fontId="8" fillId="0" borderId="1" xfId="0" applyNumberFormat="1" applyFont="1" applyBorder="1" applyAlignment="1" applyProtection="1">
      <alignment horizontal="center"/>
      <protection hidden="1"/>
    </xf>
    <xf numFmtId="0" fontId="9" fillId="7" borderId="1" xfId="0" applyFont="1" applyFill="1" applyBorder="1" applyAlignment="1" applyProtection="1">
      <alignment vertical="center"/>
      <protection hidden="1"/>
    </xf>
    <xf numFmtId="0" fontId="9" fillId="0" borderId="1" xfId="0" applyFont="1" applyBorder="1" applyAlignment="1" applyProtection="1">
      <alignment horizontal="center"/>
      <protection hidden="1"/>
    </xf>
    <xf numFmtId="0" fontId="9" fillId="14" borderId="1" xfId="0" applyFont="1" applyFill="1" applyBorder="1" applyAlignment="1" applyProtection="1">
      <alignment horizontal="center"/>
      <protection hidden="1"/>
    </xf>
    <xf numFmtId="0" fontId="10" fillId="0" borderId="1" xfId="0" applyFont="1" applyBorder="1" applyAlignment="1" applyProtection="1">
      <alignment vertical="center" wrapText="1"/>
      <protection hidden="1"/>
    </xf>
    <xf numFmtId="3" fontId="10" fillId="0" borderId="1" xfId="0" applyNumberFormat="1" applyFont="1" applyBorder="1" applyAlignment="1" applyProtection="1">
      <alignment horizontal="center" vertical="center"/>
      <protection hidden="1"/>
    </xf>
    <xf numFmtId="0" fontId="10" fillId="0" borderId="1" xfId="0" applyFont="1" applyFill="1" applyBorder="1" applyAlignment="1" applyProtection="1">
      <alignment horizontal="left" vertical="center" wrapText="1"/>
      <protection hidden="1"/>
    </xf>
    <xf numFmtId="0" fontId="5" fillId="15" borderId="1" xfId="0" applyFont="1" applyFill="1" applyBorder="1" applyProtection="1">
      <protection hidden="1"/>
    </xf>
    <xf numFmtId="0" fontId="9" fillId="10" borderId="1" xfId="0" applyFont="1" applyFill="1" applyBorder="1" applyAlignment="1" applyProtection="1">
      <alignment horizontal="center"/>
      <protection hidden="1"/>
    </xf>
    <xf numFmtId="0" fontId="8" fillId="9" borderId="1" xfId="0" applyFont="1" applyFill="1" applyBorder="1" applyAlignment="1" applyProtection="1">
      <alignment wrapText="1"/>
      <protection hidden="1"/>
    </xf>
    <xf numFmtId="0" fontId="13" fillId="11" borderId="1" xfId="0" applyFont="1" applyFill="1" applyBorder="1" applyAlignment="1" applyProtection="1">
      <alignment wrapText="1"/>
      <protection hidden="1"/>
    </xf>
    <xf numFmtId="3" fontId="8" fillId="0" borderId="1" xfId="0" applyNumberFormat="1" applyFont="1" applyBorder="1" applyAlignment="1" applyProtection="1">
      <alignment horizontal="center" vertical="center"/>
      <protection hidden="1"/>
    </xf>
    <xf numFmtId="0" fontId="11" fillId="13" borderId="2" xfId="0" applyFont="1" applyFill="1" applyBorder="1" applyAlignment="1" applyProtection="1">
      <alignment horizontal="center" vertical="center"/>
      <protection hidden="1"/>
    </xf>
    <xf numFmtId="0" fontId="11" fillId="13" borderId="1" xfId="0" applyFont="1" applyFill="1" applyBorder="1" applyAlignment="1" applyProtection="1">
      <alignment horizontal="center" vertical="center"/>
      <protection hidden="1"/>
    </xf>
    <xf numFmtId="0" fontId="10" fillId="12" borderId="1" xfId="0" applyFont="1" applyFill="1" applyBorder="1" applyAlignment="1" applyProtection="1">
      <alignment vertical="center"/>
      <protection hidden="1"/>
    </xf>
    <xf numFmtId="1" fontId="10" fillId="0" borderId="1" xfId="0" applyNumberFormat="1" applyFont="1" applyBorder="1" applyAlignment="1" applyProtection="1">
      <alignment horizontal="center" vertical="center"/>
      <protection hidden="1"/>
    </xf>
    <xf numFmtId="4" fontId="10" fillId="0" borderId="1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Protection="1"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10" fillId="12" borderId="1" xfId="0" applyFont="1" applyFill="1" applyBorder="1" applyAlignment="1" applyProtection="1">
      <alignment horizontal="center" vertical="center"/>
      <protection hidden="1"/>
    </xf>
    <xf numFmtId="3" fontId="8" fillId="0" borderId="0" xfId="0" applyNumberFormat="1" applyFont="1" applyProtection="1">
      <protection hidden="1"/>
    </xf>
    <xf numFmtId="3" fontId="8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 applyProtection="1">
      <alignment horizontal="center" vertical="center"/>
      <protection locked="0" hidden="1"/>
    </xf>
    <xf numFmtId="0" fontId="8" fillId="17" borderId="1" xfId="0" applyFont="1" applyFill="1" applyBorder="1"/>
    <xf numFmtId="0" fontId="9" fillId="17" borderId="1" xfId="0" applyFont="1" applyFill="1" applyBorder="1"/>
    <xf numFmtId="9" fontId="8" fillId="0" borderId="0" xfId="1" applyFont="1"/>
    <xf numFmtId="9" fontId="10" fillId="0" borderId="1" xfId="1" applyFont="1" applyBorder="1" applyAlignment="1" applyProtection="1">
      <alignment horizontal="center" vertical="center"/>
      <protection hidden="1"/>
    </xf>
    <xf numFmtId="3" fontId="8" fillId="0" borderId="1" xfId="0" applyNumberFormat="1" applyFont="1" applyBorder="1" applyAlignment="1">
      <alignment horizontal="center"/>
    </xf>
    <xf numFmtId="0" fontId="9" fillId="8" borderId="1" xfId="0" applyFont="1" applyFill="1" applyBorder="1" applyAlignment="1" applyProtection="1">
      <alignment horizontal="center"/>
      <protection hidden="1"/>
    </xf>
    <xf numFmtId="0" fontId="9" fillId="5" borderId="1" xfId="0" applyFont="1" applyFill="1" applyBorder="1" applyAlignment="1">
      <alignment wrapText="1"/>
    </xf>
    <xf numFmtId="0" fontId="9" fillId="5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1" xfId="0" applyFont="1" applyBorder="1" applyAlignment="1">
      <alignment wrapText="1"/>
    </xf>
    <xf numFmtId="3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left"/>
    </xf>
    <xf numFmtId="3" fontId="9" fillId="0" borderId="0" xfId="0" applyNumberFormat="1" applyFont="1"/>
    <xf numFmtId="3" fontId="9" fillId="0" borderId="1" xfId="0" applyNumberFormat="1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8" fillId="0" borderId="9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3" fontId="8" fillId="0" borderId="1" xfId="0" applyNumberFormat="1" applyFont="1" applyBorder="1" applyAlignment="1">
      <alignment horizontal="center"/>
    </xf>
    <xf numFmtId="0" fontId="9" fillId="5" borderId="1" xfId="0" applyFont="1" applyFill="1" applyBorder="1" applyAlignment="1">
      <alignment horizontal="left"/>
    </xf>
    <xf numFmtId="0" fontId="9" fillId="0" borderId="0" xfId="0" applyFont="1"/>
    <xf numFmtId="3" fontId="8" fillId="0" borderId="1" xfId="0" applyNumberFormat="1" applyFont="1" applyBorder="1"/>
    <xf numFmtId="0" fontId="9" fillId="5" borderId="1" xfId="0" applyFont="1" applyFill="1" applyBorder="1"/>
    <xf numFmtId="0" fontId="14" fillId="0" borderId="0" xfId="0" applyFont="1" applyFill="1" applyBorder="1" applyAlignment="1" applyProtection="1">
      <alignment wrapText="1"/>
      <protection hidden="1"/>
    </xf>
    <xf numFmtId="0" fontId="15" fillId="0" borderId="0" xfId="0" applyFont="1" applyFill="1" applyBorder="1" applyProtection="1">
      <protection hidden="1"/>
    </xf>
    <xf numFmtId="0" fontId="15" fillId="0" borderId="0" xfId="0" applyFont="1"/>
    <xf numFmtId="0" fontId="15" fillId="0" borderId="0" xfId="0" applyFont="1" applyFill="1" applyBorder="1" applyAlignment="1" applyProtection="1">
      <alignment horizont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Protection="1">
      <protection hidden="1"/>
    </xf>
    <xf numFmtId="10" fontId="15" fillId="0" borderId="0" xfId="1" applyNumberFormat="1" applyFont="1" applyFill="1" applyBorder="1" applyProtection="1">
      <protection hidden="1"/>
    </xf>
    <xf numFmtId="0" fontId="15" fillId="0" borderId="0" xfId="0" applyFont="1" applyFill="1" applyBorder="1"/>
    <xf numFmtId="0" fontId="16" fillId="0" borderId="0" xfId="0" applyFont="1" applyFill="1" applyBorder="1" applyProtection="1">
      <protection hidden="1"/>
    </xf>
    <xf numFmtId="3" fontId="0" fillId="0" borderId="0" xfId="0" applyNumberFormat="1"/>
    <xf numFmtId="0" fontId="8" fillId="0" borderId="2" xfId="0" applyFont="1" applyFill="1" applyBorder="1" applyAlignment="1">
      <alignment horizontal="left"/>
    </xf>
    <xf numFmtId="3" fontId="8" fillId="0" borderId="1" xfId="0" applyNumberFormat="1" applyFont="1" applyBorder="1" applyAlignment="1">
      <alignment horizontal="center"/>
    </xf>
    <xf numFmtId="0" fontId="8" fillId="4" borderId="0" xfId="0" applyFont="1" applyFill="1" applyProtection="1">
      <protection hidden="1"/>
    </xf>
    <xf numFmtId="165" fontId="8" fillId="0" borderId="0" xfId="2" applyNumberFormat="1" applyFont="1" applyAlignment="1" applyProtection="1">
      <alignment horizontal="center"/>
      <protection hidden="1"/>
    </xf>
    <xf numFmtId="165" fontId="8" fillId="4" borderId="0" xfId="0" applyNumberFormat="1" applyFont="1" applyFill="1" applyAlignment="1" applyProtection="1">
      <alignment horizontal="center"/>
      <protection hidden="1"/>
    </xf>
    <xf numFmtId="0" fontId="8" fillId="4" borderId="0" xfId="0" applyFont="1" applyFill="1" applyAlignment="1" applyProtection="1">
      <alignment horizontal="center"/>
      <protection hidden="1"/>
    </xf>
    <xf numFmtId="0" fontId="8" fillId="5" borderId="0" xfId="0" applyFont="1" applyFill="1" applyProtection="1">
      <protection hidden="1"/>
    </xf>
    <xf numFmtId="0" fontId="8" fillId="5" borderId="0" xfId="0" applyFont="1" applyFill="1" applyAlignment="1" applyProtection="1">
      <alignment horizontal="center"/>
      <protection hidden="1"/>
    </xf>
    <xf numFmtId="165" fontId="8" fillId="0" borderId="0" xfId="2" applyNumberFormat="1" applyFont="1" applyProtection="1">
      <protection hidden="1"/>
    </xf>
    <xf numFmtId="165" fontId="0" fillId="0" borderId="0" xfId="2" applyNumberFormat="1" applyFont="1" applyProtection="1">
      <protection hidden="1"/>
    </xf>
    <xf numFmtId="165" fontId="8" fillId="5" borderId="0" xfId="2" applyNumberFormat="1" applyFont="1" applyFill="1" applyProtection="1">
      <protection hidden="1"/>
    </xf>
    <xf numFmtId="165" fontId="8" fillId="5" borderId="0" xfId="2" applyNumberFormat="1" applyFont="1" applyFill="1" applyAlignment="1" applyProtection="1">
      <alignment horizontal="center"/>
      <protection hidden="1"/>
    </xf>
    <xf numFmtId="9" fontId="8" fillId="0" borderId="0" xfId="1" applyFont="1" applyAlignment="1" applyProtection="1">
      <alignment horizontal="center"/>
      <protection hidden="1"/>
    </xf>
    <xf numFmtId="164" fontId="8" fillId="0" borderId="0" xfId="2" applyFont="1" applyAlignment="1" applyProtection="1">
      <alignment horizontal="center"/>
      <protection hidden="1"/>
    </xf>
    <xf numFmtId="164" fontId="8" fillId="0" borderId="0" xfId="2" applyFont="1" applyProtection="1">
      <protection hidden="1"/>
    </xf>
    <xf numFmtId="9" fontId="15" fillId="0" borderId="0" xfId="1" applyFont="1" applyFill="1" applyBorder="1" applyProtection="1">
      <protection hidden="1"/>
    </xf>
    <xf numFmtId="9" fontId="8" fillId="0" borderId="0" xfId="1" applyFont="1" applyProtection="1">
      <protection hidden="1"/>
    </xf>
    <xf numFmtId="9" fontId="0" fillId="0" borderId="0" xfId="1" applyFont="1"/>
    <xf numFmtId="166" fontId="0" fillId="0" borderId="0" xfId="1" applyNumberFormat="1" applyFont="1"/>
    <xf numFmtId="9" fontId="8" fillId="0" borderId="0" xfId="0" applyNumberFormat="1" applyFont="1" applyAlignment="1">
      <alignment horizontal="center"/>
    </xf>
    <xf numFmtId="165" fontId="8" fillId="0" borderId="0" xfId="0" applyNumberFormat="1" applyFont="1" applyProtection="1">
      <protection hidden="1"/>
    </xf>
    <xf numFmtId="9" fontId="0" fillId="0" borderId="0" xfId="0" applyNumberFormat="1" applyFont="1"/>
    <xf numFmtId="0" fontId="9" fillId="18" borderId="1" xfId="0" applyFont="1" applyFill="1" applyBorder="1" applyAlignment="1">
      <alignment horizontal="center" vertical="center" wrapText="1"/>
    </xf>
    <xf numFmtId="0" fontId="9" fillId="18" borderId="10" xfId="0" applyFont="1" applyFill="1" applyBorder="1" applyAlignment="1">
      <alignment horizontal="center" vertical="center" wrapText="1"/>
    </xf>
    <xf numFmtId="0" fontId="9" fillId="18" borderId="7" xfId="0" applyFont="1" applyFill="1" applyBorder="1" applyAlignment="1">
      <alignment horizontal="center" vertical="center" wrapText="1"/>
    </xf>
    <xf numFmtId="0" fontId="9" fillId="18" borderId="11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3" fontId="17" fillId="0" borderId="0" xfId="0" applyNumberFormat="1" applyFont="1"/>
    <xf numFmtId="9" fontId="17" fillId="0" borderId="0" xfId="1" applyFont="1"/>
    <xf numFmtId="0" fontId="13" fillId="0" borderId="0" xfId="0" applyFont="1"/>
    <xf numFmtId="0" fontId="8" fillId="0" borderId="2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3" fontId="8" fillId="0" borderId="2" xfId="0" applyNumberFormat="1" applyFont="1" applyFill="1" applyBorder="1" applyAlignment="1">
      <alignment horizontal="center"/>
    </xf>
    <xf numFmtId="3" fontId="8" fillId="0" borderId="9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3" fontId="8" fillId="0" borderId="1" xfId="0" applyNumberFormat="1" applyFont="1" applyFill="1" applyBorder="1" applyAlignment="1">
      <alignment horizontal="center"/>
    </xf>
    <xf numFmtId="0" fontId="8" fillId="1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1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8" borderId="1" xfId="0" applyFont="1" applyFill="1" applyBorder="1" applyAlignment="1" applyProtection="1">
      <alignment horizontal="center"/>
      <protection hidden="1"/>
    </xf>
    <xf numFmtId="0" fontId="9" fillId="8" borderId="6" xfId="0" applyFont="1" applyFill="1" applyBorder="1" applyAlignment="1" applyProtection="1">
      <alignment horizontal="center" vertical="center"/>
      <protection hidden="1"/>
    </xf>
    <xf numFmtId="0" fontId="9" fillId="8" borderId="7" xfId="0" applyFont="1" applyFill="1" applyBorder="1" applyAlignment="1" applyProtection="1">
      <alignment horizontal="center" vertical="center"/>
      <protection hidden="1"/>
    </xf>
    <xf numFmtId="0" fontId="9" fillId="8" borderId="8" xfId="0" applyFont="1" applyFill="1" applyBorder="1" applyAlignment="1" applyProtection="1">
      <alignment horizontal="center" vertical="center"/>
      <protection hidden="1"/>
    </xf>
    <xf numFmtId="0" fontId="9" fillId="7" borderId="6" xfId="0" applyFont="1" applyFill="1" applyBorder="1" applyAlignment="1" applyProtection="1">
      <alignment horizontal="center" vertical="center"/>
      <protection hidden="1"/>
    </xf>
    <xf numFmtId="0" fontId="9" fillId="7" borderId="7" xfId="0" applyFont="1" applyFill="1" applyBorder="1" applyAlignment="1" applyProtection="1">
      <alignment horizontal="center" vertical="center"/>
      <protection hidden="1"/>
    </xf>
    <xf numFmtId="0" fontId="9" fillId="7" borderId="8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wrapText="1"/>
      <protection hidden="1"/>
    </xf>
    <xf numFmtId="0" fontId="14" fillId="0" borderId="0" xfId="0" applyFont="1" applyFill="1" applyBorder="1" applyAlignment="1" applyProtection="1">
      <alignment horizontal="left" wrapText="1"/>
      <protection hidden="1"/>
    </xf>
    <xf numFmtId="0" fontId="9" fillId="14" borderId="1" xfId="0" applyFont="1" applyFill="1" applyBorder="1" applyAlignment="1" applyProtection="1">
      <alignment horizontal="center" vertical="center"/>
      <protection hidden="1"/>
    </xf>
    <xf numFmtId="0" fontId="9" fillId="10" borderId="1" xfId="0" applyFont="1" applyFill="1" applyBorder="1" applyAlignment="1" applyProtection="1">
      <alignment horizontal="center" vertical="center" wrapText="1"/>
      <protection hidden="1"/>
    </xf>
    <xf numFmtId="0" fontId="9" fillId="10" borderId="4" xfId="0" applyFont="1" applyFill="1" applyBorder="1" applyAlignment="1" applyProtection="1">
      <alignment horizontal="center"/>
      <protection hidden="1"/>
    </xf>
    <xf numFmtId="0" fontId="9" fillId="10" borderId="5" xfId="0" applyFont="1" applyFill="1" applyBorder="1" applyAlignment="1" applyProtection="1">
      <alignment horizontal="center"/>
      <protection hidden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Затраты!$A$35:$A$39</c:f>
              <c:strCache>
                <c:ptCount val="5"/>
                <c:pt idx="0">
                  <c:v> организация транспорта до доставке персонала </c:v>
                </c:pt>
                <c:pt idx="1">
                  <c:v> моющие </c:v>
                </c:pt>
                <c:pt idx="2">
                  <c:v> уборочный инвентарь </c:v>
                </c:pt>
                <c:pt idx="3">
                  <c:v> расходные для ремонта  </c:v>
                </c:pt>
                <c:pt idx="4">
                  <c:v> прочие расходы  </c:v>
                </c:pt>
              </c:strCache>
            </c:strRef>
          </c:cat>
          <c:val>
            <c:numRef>
              <c:f>Затраты!$B$35:$B$39</c:f>
              <c:numCache>
                <c:formatCode>0%</c:formatCode>
                <c:ptCount val="5"/>
                <c:pt idx="0">
                  <c:v>0.30927835051546393</c:v>
                </c:pt>
                <c:pt idx="1">
                  <c:v>9.2783505154639179E-2</c:v>
                </c:pt>
                <c:pt idx="2">
                  <c:v>0.18556701030927836</c:v>
                </c:pt>
                <c:pt idx="3">
                  <c:v>0.30927835051546393</c:v>
                </c:pt>
                <c:pt idx="4">
                  <c:v>0.10309278350515463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CD-435C-8A4C-D9BEB2640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821696"/>
        <c:axId val="129630976"/>
      </c:barChart>
      <c:catAx>
        <c:axId val="1298216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29630976"/>
        <c:crosses val="autoZero"/>
        <c:auto val="1"/>
        <c:lblAlgn val="ctr"/>
        <c:lblOffset val="100"/>
        <c:noMultiLvlLbl val="0"/>
      </c:catAx>
      <c:valAx>
        <c:axId val="129630976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29821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Затраты!$A$29:$A$33</c:f>
              <c:strCache>
                <c:ptCount val="5"/>
                <c:pt idx="0">
                  <c:v>оплата электроенергии </c:v>
                </c:pt>
                <c:pt idx="1">
                  <c:v>вывоз ТБО</c:v>
                </c:pt>
                <c:pt idx="2">
                  <c:v>оплата услуг "бочки" </c:v>
                </c:pt>
                <c:pt idx="3">
                  <c:v>дрова</c:v>
                </c:pt>
                <c:pt idx="4">
                  <c:v>0</c:v>
                </c:pt>
              </c:strCache>
            </c:strRef>
          </c:cat>
          <c:val>
            <c:numRef>
              <c:f>Затраты!$B$29:$B$33</c:f>
              <c:numCache>
                <c:formatCode>0%</c:formatCode>
                <c:ptCount val="5"/>
                <c:pt idx="0">
                  <c:v>0.759493670886076</c:v>
                </c:pt>
                <c:pt idx="1">
                  <c:v>6.3291139240506333E-2</c:v>
                </c:pt>
                <c:pt idx="2">
                  <c:v>0.12658227848101267</c:v>
                </c:pt>
                <c:pt idx="3">
                  <c:v>5.0632911392405063E-2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FC-43B0-BCB6-9C23934E0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654144"/>
        <c:axId val="129672320"/>
      </c:barChart>
      <c:catAx>
        <c:axId val="1296541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29672320"/>
        <c:crosses val="autoZero"/>
        <c:auto val="1"/>
        <c:lblAlgn val="ctr"/>
        <c:lblOffset val="100"/>
        <c:noMultiLvlLbl val="0"/>
      </c:catAx>
      <c:valAx>
        <c:axId val="129672320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29654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'Расчет окупаемости'!$A$8</c:f>
              <c:strCache>
                <c:ptCount val="1"/>
                <c:pt idx="0">
                  <c:v>Чистая прибыль нарастающим итогом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'Расчет окупаемости'!$B$8:$Y$8</c:f>
              <c:numCache>
                <c:formatCode>#,##0</c:formatCode>
                <c:ptCount val="24"/>
                <c:pt idx="0">
                  <c:v>2429375.2599999998</c:v>
                </c:pt>
                <c:pt idx="1">
                  <c:v>5690623.2599999998</c:v>
                </c:pt>
                <c:pt idx="2">
                  <c:v>8869818.6600000001</c:v>
                </c:pt>
                <c:pt idx="3">
                  <c:v>10786030.060000001</c:v>
                </c:pt>
                <c:pt idx="4">
                  <c:v>11818838.860000001</c:v>
                </c:pt>
                <c:pt idx="5">
                  <c:v>13232246.260000002</c:v>
                </c:pt>
                <c:pt idx="6">
                  <c:v>14843053.660000002</c:v>
                </c:pt>
                <c:pt idx="7">
                  <c:v>17048683.660000004</c:v>
                </c:pt>
                <c:pt idx="8">
                  <c:v>18967895.660000004</c:v>
                </c:pt>
                <c:pt idx="9">
                  <c:v>20739461.860000003</c:v>
                </c:pt>
                <c:pt idx="10">
                  <c:v>23288847.860000003</c:v>
                </c:pt>
                <c:pt idx="11">
                  <c:v>26241399.860000003</c:v>
                </c:pt>
                <c:pt idx="12">
                  <c:v>30731509.860000003</c:v>
                </c:pt>
                <c:pt idx="13">
                  <c:v>34954753.859999999</c:v>
                </c:pt>
                <c:pt idx="14">
                  <c:v>38902765.859999999</c:v>
                </c:pt>
                <c:pt idx="15">
                  <c:v>40882145.259999998</c:v>
                </c:pt>
                <c:pt idx="16">
                  <c:v>41914954.059999995</c:v>
                </c:pt>
                <c:pt idx="17">
                  <c:v>43328361.459999993</c:v>
                </c:pt>
                <c:pt idx="18">
                  <c:v>44906268.859999992</c:v>
                </c:pt>
                <c:pt idx="19">
                  <c:v>47111898.859999992</c:v>
                </c:pt>
                <c:pt idx="20">
                  <c:v>49031110.859999992</c:v>
                </c:pt>
                <c:pt idx="21">
                  <c:v>50793060.859999992</c:v>
                </c:pt>
                <c:pt idx="22">
                  <c:v>53355946.859999992</c:v>
                </c:pt>
                <c:pt idx="23">
                  <c:v>56661562.859999992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E9-43AF-90F7-215F025AF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1848064"/>
        <c:axId val="131849600"/>
      </c:barChart>
      <c:catAx>
        <c:axId val="1318480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ru-RU"/>
          </a:p>
        </c:txPr>
        <c:crossAx val="131849600"/>
        <c:crosses val="autoZero"/>
        <c:auto val="1"/>
        <c:lblAlgn val="ctr"/>
        <c:lblOffset val="100"/>
        <c:noMultiLvlLbl val="0"/>
      </c:catAx>
      <c:valAx>
        <c:axId val="131849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ru-RU"/>
          </a:p>
        </c:txPr>
        <c:crossAx val="131848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n-lt"/>
        </a:defRPr>
      </a:pPr>
      <a:endParaRPr lang="ru-RU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Drop" dropLines="12" dropStyle="combo" dx="16" fmlaLink="$I$13" fmlaRange="К!$B$3:$B$14" noThreeD="1" sel="7" val="0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12</xdr:row>
          <xdr:rowOff>7620</xdr:rowOff>
        </xdr:from>
        <xdr:to>
          <xdr:col>10</xdr:col>
          <xdr:colOff>480060</xdr:colOff>
          <xdr:row>13</xdr:row>
          <xdr:rowOff>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27</xdr:row>
      <xdr:rowOff>219075</xdr:rowOff>
    </xdr:from>
    <xdr:to>
      <xdr:col>8</xdr:col>
      <xdr:colOff>457200</xdr:colOff>
      <xdr:row>39</xdr:row>
      <xdr:rowOff>104775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200025</xdr:colOff>
      <xdr:row>27</xdr:row>
      <xdr:rowOff>219075</xdr:rowOff>
    </xdr:from>
    <xdr:to>
      <xdr:col>14</xdr:col>
      <xdr:colOff>476250</xdr:colOff>
      <xdr:row>39</xdr:row>
      <xdr:rowOff>104775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1907381</xdr:colOff>
      <xdr:row>15</xdr:row>
      <xdr:rowOff>135731</xdr:rowOff>
    </xdr:from>
    <xdr:to>
      <xdr:col>12</xdr:col>
      <xdr:colOff>611981</xdr:colOff>
      <xdr:row>32</xdr:row>
      <xdr:rowOff>130969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B2:K88"/>
  <sheetViews>
    <sheetView showGridLines="0" topLeftCell="A6" workbookViewId="0">
      <selection activeCell="I31" sqref="I31:K31"/>
    </sheetView>
  </sheetViews>
  <sheetFormatPr defaultRowHeight="14.4" x14ac:dyDescent="0.3"/>
  <cols>
    <col min="2" max="2" width="11.33203125" style="7" customWidth="1"/>
    <col min="3" max="3" width="13.88671875" style="7" customWidth="1"/>
    <col min="4" max="4" width="13.5546875" style="7" customWidth="1"/>
    <col min="5" max="5" width="13.6640625" style="7" customWidth="1"/>
    <col min="6" max="8" width="9.109375" style="7"/>
    <col min="9" max="9" width="16.33203125" style="7" customWidth="1"/>
    <col min="10" max="10" width="9.109375" style="7"/>
    <col min="11" max="11" width="7.33203125" style="7" customWidth="1"/>
  </cols>
  <sheetData>
    <row r="2" spans="2:11" ht="25.8" x14ac:dyDescent="0.5">
      <c r="B2" s="129" t="s">
        <v>174</v>
      </c>
      <c r="C2" s="129"/>
      <c r="D2" s="129"/>
      <c r="E2" s="129"/>
      <c r="F2" s="129"/>
      <c r="G2" s="129"/>
      <c r="H2" s="129"/>
      <c r="I2" s="129"/>
      <c r="J2" s="129"/>
      <c r="K2" s="129"/>
    </row>
    <row r="3" spans="2:11" ht="25.8" x14ac:dyDescent="0.5">
      <c r="B3" s="130" t="s">
        <v>15</v>
      </c>
      <c r="C3" s="130"/>
      <c r="D3" s="130"/>
      <c r="E3" s="130"/>
      <c r="F3" s="130"/>
      <c r="G3" s="130"/>
      <c r="H3" s="130"/>
      <c r="I3" s="130"/>
      <c r="J3" s="130"/>
      <c r="K3" s="130"/>
    </row>
    <row r="4" spans="2:11" ht="18" x14ac:dyDescent="0.35">
      <c r="B4" s="131"/>
      <c r="C4" s="131"/>
      <c r="D4" s="131"/>
      <c r="E4" s="131"/>
      <c r="F4" s="131"/>
      <c r="G4" s="131"/>
      <c r="H4" s="131"/>
      <c r="I4" s="131"/>
      <c r="J4" s="131"/>
      <c r="K4" s="131"/>
    </row>
    <row r="6" spans="2:11" ht="18" x14ac:dyDescent="0.35">
      <c r="B6" s="131" t="s">
        <v>21</v>
      </c>
      <c r="C6" s="131"/>
      <c r="D6" s="131"/>
      <c r="E6" s="131"/>
      <c r="F6" s="131"/>
      <c r="G6" s="131"/>
      <c r="H6" s="131"/>
      <c r="I6" s="131"/>
      <c r="J6" s="131"/>
      <c r="K6" s="131"/>
    </row>
    <row r="7" spans="2:11" ht="18" x14ac:dyDescent="0.35">
      <c r="B7" s="125" t="s">
        <v>22</v>
      </c>
      <c r="C7" s="125"/>
      <c r="D7" s="125"/>
      <c r="E7" s="125"/>
      <c r="F7" s="125"/>
      <c r="G7" s="125"/>
      <c r="H7" s="125"/>
      <c r="I7" s="128">
        <f>Инвестиции!C11</f>
        <v>39624000</v>
      </c>
      <c r="J7" s="127"/>
      <c r="K7" s="127"/>
    </row>
    <row r="8" spans="2:11" ht="18" x14ac:dyDescent="0.35">
      <c r="B8" s="125" t="s">
        <v>65</v>
      </c>
      <c r="C8" s="125"/>
      <c r="D8" s="125"/>
      <c r="E8" s="125"/>
      <c r="F8" s="125"/>
      <c r="G8" s="125"/>
      <c r="H8" s="125"/>
      <c r="I8" s="127">
        <f>IF('Расчет окупаемости'!B7&gt;0,1,IF('Расчет окупаемости'!N7&gt;0,MATCH(0,'Расчет окупаемости'!B7:Y7,1)+1,MATCH(0,'Расчет окупаемости'!B7:M7,1)+1))</f>
        <v>1</v>
      </c>
      <c r="J8" s="127"/>
      <c r="K8" s="127"/>
    </row>
    <row r="9" spans="2:11" ht="18" x14ac:dyDescent="0.35">
      <c r="B9" s="125" t="s">
        <v>66</v>
      </c>
      <c r="C9" s="125"/>
      <c r="D9" s="125"/>
      <c r="E9" s="125"/>
      <c r="F9" s="125"/>
      <c r="G9" s="125"/>
      <c r="H9" s="125"/>
      <c r="I9" s="127">
        <f>MATCH(0,'Расчет окупаемости'!B9:Y9,1)+1</f>
        <v>16</v>
      </c>
      <c r="J9" s="127"/>
      <c r="K9" s="127"/>
    </row>
    <row r="10" spans="2:11" ht="18" x14ac:dyDescent="0.35">
      <c r="B10" s="125" t="s">
        <v>23</v>
      </c>
      <c r="C10" s="125"/>
      <c r="D10" s="125"/>
      <c r="E10" s="125"/>
      <c r="F10" s="125"/>
      <c r="G10" s="125"/>
      <c r="H10" s="125"/>
      <c r="I10" s="128">
        <f>AVERAGE('Расчет окупаемости'!B7:Y7)</f>
        <v>2360898.4524999997</v>
      </c>
      <c r="J10" s="127"/>
      <c r="K10" s="127"/>
    </row>
    <row r="12" spans="2:11" ht="18" x14ac:dyDescent="0.35">
      <c r="B12" s="124" t="s">
        <v>68</v>
      </c>
      <c r="C12" s="124"/>
      <c r="D12" s="124"/>
      <c r="E12" s="124"/>
      <c r="F12" s="124"/>
      <c r="G12" s="124"/>
      <c r="H12" s="124"/>
      <c r="I12" s="124"/>
      <c r="J12" s="124"/>
      <c r="K12" s="124"/>
    </row>
    <row r="13" spans="2:11" ht="18" x14ac:dyDescent="0.35">
      <c r="B13" s="125" t="s">
        <v>71</v>
      </c>
      <c r="C13" s="125"/>
      <c r="D13" s="125"/>
      <c r="E13" s="125"/>
      <c r="F13" s="125"/>
      <c r="G13" s="125"/>
      <c r="H13" s="125"/>
      <c r="I13" s="126">
        <v>7</v>
      </c>
      <c r="J13" s="126"/>
      <c r="K13" s="126"/>
    </row>
    <row r="14" spans="2:11" ht="18" x14ac:dyDescent="0.35">
      <c r="B14" s="122" t="s">
        <v>173</v>
      </c>
      <c r="C14" s="122"/>
      <c r="D14" s="122"/>
      <c r="E14" s="122"/>
      <c r="F14" s="122"/>
      <c r="G14" s="122"/>
      <c r="H14" s="122"/>
      <c r="I14" s="123">
        <v>100</v>
      </c>
      <c r="J14" s="123"/>
      <c r="K14" s="123"/>
    </row>
    <row r="15" spans="2:11" ht="18" x14ac:dyDescent="0.35">
      <c r="B15" s="116" t="s">
        <v>204</v>
      </c>
      <c r="C15" s="117"/>
      <c r="D15" s="117"/>
      <c r="E15" s="117"/>
      <c r="F15" s="117"/>
      <c r="G15" s="117"/>
      <c r="H15" s="118"/>
      <c r="I15" s="119">
        <v>15505</v>
      </c>
      <c r="J15" s="120"/>
      <c r="K15" s="121"/>
    </row>
    <row r="16" spans="2:11" ht="18" x14ac:dyDescent="0.35">
      <c r="B16" s="122" t="s">
        <v>143</v>
      </c>
      <c r="C16" s="122"/>
      <c r="D16" s="122"/>
      <c r="E16" s="122"/>
      <c r="F16" s="122"/>
      <c r="G16" s="122"/>
      <c r="H16" s="122"/>
      <c r="I16" s="119">
        <v>68</v>
      </c>
      <c r="J16" s="120"/>
      <c r="K16" s="121"/>
    </row>
    <row r="17" spans="2:11" ht="18" x14ac:dyDescent="0.35">
      <c r="B17" s="116" t="s">
        <v>145</v>
      </c>
      <c r="C17" s="117"/>
      <c r="D17" s="117"/>
      <c r="E17" s="117"/>
      <c r="F17" s="117"/>
      <c r="G17" s="117"/>
      <c r="H17" s="118"/>
      <c r="I17" s="119">
        <v>1646</v>
      </c>
      <c r="J17" s="120"/>
      <c r="K17" s="121"/>
    </row>
    <row r="18" spans="2:11" ht="18" x14ac:dyDescent="0.35">
      <c r="B18" s="122" t="s">
        <v>146</v>
      </c>
      <c r="C18" s="122"/>
      <c r="D18" s="122"/>
      <c r="E18" s="122"/>
      <c r="F18" s="122"/>
      <c r="G18" s="122"/>
      <c r="H18" s="122"/>
      <c r="I18" s="119">
        <v>149</v>
      </c>
      <c r="J18" s="120"/>
      <c r="K18" s="121"/>
    </row>
    <row r="19" spans="2:11" ht="18" x14ac:dyDescent="0.35">
      <c r="B19" s="116" t="s">
        <v>148</v>
      </c>
      <c r="C19" s="117"/>
      <c r="D19" s="117"/>
      <c r="E19" s="117"/>
      <c r="F19" s="117"/>
      <c r="G19" s="117"/>
      <c r="H19" s="118"/>
      <c r="I19" s="119">
        <v>1419</v>
      </c>
      <c r="J19" s="120"/>
      <c r="K19" s="121"/>
    </row>
    <row r="20" spans="2:11" ht="18" x14ac:dyDescent="0.35">
      <c r="B20" s="122" t="s">
        <v>189</v>
      </c>
      <c r="C20" s="122"/>
      <c r="D20" s="122"/>
      <c r="E20" s="122"/>
      <c r="F20" s="122"/>
      <c r="G20" s="122"/>
      <c r="H20" s="122"/>
      <c r="I20" s="119">
        <v>21</v>
      </c>
      <c r="J20" s="120"/>
      <c r="K20" s="121"/>
    </row>
    <row r="21" spans="2:11" ht="18" x14ac:dyDescent="0.35">
      <c r="B21" s="116" t="s">
        <v>200</v>
      </c>
      <c r="C21" s="117"/>
      <c r="D21" s="117"/>
      <c r="E21" s="117"/>
      <c r="F21" s="117"/>
      <c r="G21" s="117"/>
      <c r="H21" s="118"/>
      <c r="I21" s="119">
        <v>14500</v>
      </c>
      <c r="J21" s="120"/>
      <c r="K21" s="121"/>
    </row>
    <row r="22" spans="2:11" ht="18" x14ac:dyDescent="0.35">
      <c r="B22" s="116" t="s">
        <v>205</v>
      </c>
      <c r="C22" s="117"/>
      <c r="D22" s="117"/>
      <c r="E22" s="117"/>
      <c r="F22" s="117"/>
      <c r="G22" s="117"/>
      <c r="H22" s="118"/>
      <c r="I22" s="119">
        <v>55.7</v>
      </c>
      <c r="J22" s="120"/>
      <c r="K22" s="121"/>
    </row>
    <row r="23" spans="2:11" ht="18" x14ac:dyDescent="0.35">
      <c r="B23" s="116" t="s">
        <v>144</v>
      </c>
      <c r="C23" s="117"/>
      <c r="D23" s="117"/>
      <c r="E23" s="117"/>
      <c r="F23" s="117"/>
      <c r="G23" s="117"/>
      <c r="H23" s="118"/>
      <c r="I23" s="119">
        <v>61.8</v>
      </c>
      <c r="J23" s="120"/>
      <c r="K23" s="121"/>
    </row>
    <row r="24" spans="2:11" ht="18" x14ac:dyDescent="0.35">
      <c r="B24" s="116" t="s">
        <v>147</v>
      </c>
      <c r="C24" s="117"/>
      <c r="D24" s="117"/>
      <c r="E24" s="117"/>
      <c r="F24" s="117"/>
      <c r="G24" s="117"/>
      <c r="H24" s="118"/>
      <c r="I24" s="119">
        <v>54.2</v>
      </c>
      <c r="J24" s="120"/>
      <c r="K24" s="121"/>
    </row>
    <row r="25" spans="2:11" ht="18" x14ac:dyDescent="0.35">
      <c r="B25" s="116" t="s">
        <v>206</v>
      </c>
      <c r="C25" s="117"/>
      <c r="D25" s="117"/>
      <c r="E25" s="117"/>
      <c r="F25" s="117"/>
      <c r="G25" s="117"/>
      <c r="H25" s="118"/>
      <c r="I25" s="119">
        <v>71</v>
      </c>
      <c r="J25" s="120"/>
      <c r="K25" s="121"/>
    </row>
    <row r="26" spans="2:11" ht="18" x14ac:dyDescent="0.35">
      <c r="B26" s="116" t="s">
        <v>129</v>
      </c>
      <c r="C26" s="117"/>
      <c r="D26" s="117"/>
      <c r="E26" s="117"/>
      <c r="F26" s="117"/>
      <c r="G26" s="117"/>
      <c r="H26" s="118"/>
      <c r="I26" s="119">
        <v>10</v>
      </c>
      <c r="J26" s="120"/>
      <c r="K26" s="121"/>
    </row>
    <row r="27" spans="2:11" ht="18" x14ac:dyDescent="0.35">
      <c r="B27" s="122" t="s">
        <v>72</v>
      </c>
      <c r="C27" s="122"/>
      <c r="D27" s="122"/>
      <c r="E27" s="122"/>
      <c r="F27" s="122"/>
      <c r="G27" s="122"/>
      <c r="H27" s="122"/>
      <c r="I27" s="123">
        <v>2.5</v>
      </c>
      <c r="J27" s="123"/>
      <c r="K27" s="123"/>
    </row>
    <row r="28" spans="2:11" ht="18" x14ac:dyDescent="0.35">
      <c r="B28" s="122" t="s">
        <v>130</v>
      </c>
      <c r="C28" s="122"/>
      <c r="D28" s="122"/>
      <c r="E28" s="122"/>
      <c r="F28" s="122"/>
      <c r="G28" s="122"/>
      <c r="H28" s="122"/>
      <c r="I28" s="123"/>
      <c r="J28" s="123"/>
      <c r="K28" s="123"/>
    </row>
    <row r="29" spans="2:11" ht="18" x14ac:dyDescent="0.35">
      <c r="B29" s="116" t="s">
        <v>132</v>
      </c>
      <c r="C29" s="117"/>
      <c r="D29" s="117"/>
      <c r="E29" s="117"/>
      <c r="F29" s="117"/>
      <c r="G29" s="117"/>
      <c r="H29" s="118"/>
      <c r="I29" s="119">
        <v>650000</v>
      </c>
      <c r="J29" s="120"/>
      <c r="K29" s="121"/>
    </row>
    <row r="30" spans="2:11" ht="18" x14ac:dyDescent="0.35">
      <c r="B30" s="116" t="s">
        <v>131</v>
      </c>
      <c r="C30" s="117"/>
      <c r="D30" s="117"/>
      <c r="E30" s="117"/>
      <c r="F30" s="117"/>
      <c r="G30" s="117"/>
      <c r="H30" s="118"/>
      <c r="I30" s="119">
        <v>500000</v>
      </c>
      <c r="J30" s="120"/>
      <c r="K30" s="121"/>
    </row>
    <row r="31" spans="2:11" ht="18" x14ac:dyDescent="0.35">
      <c r="B31" s="86" t="s">
        <v>139</v>
      </c>
      <c r="C31" s="69"/>
      <c r="D31" s="69"/>
      <c r="E31" s="69"/>
      <c r="F31" s="69"/>
      <c r="G31" s="69"/>
      <c r="H31" s="70"/>
      <c r="I31" s="119">
        <v>1</v>
      </c>
      <c r="J31" s="120"/>
      <c r="K31" s="121"/>
    </row>
    <row r="32" spans="2:11" ht="18" x14ac:dyDescent="0.35">
      <c r="B32" s="86" t="s">
        <v>138</v>
      </c>
      <c r="C32" s="69"/>
      <c r="D32" s="69"/>
      <c r="E32" s="69"/>
      <c r="F32" s="69"/>
      <c r="G32" s="69"/>
      <c r="H32" s="70"/>
      <c r="I32" s="119">
        <v>0</v>
      </c>
      <c r="J32" s="120"/>
      <c r="K32" s="121"/>
    </row>
    <row r="33" spans="2:11" ht="18" x14ac:dyDescent="0.35">
      <c r="B33" s="122" t="s">
        <v>96</v>
      </c>
      <c r="C33" s="122"/>
      <c r="D33" s="122"/>
      <c r="E33" s="122"/>
      <c r="F33" s="122"/>
      <c r="G33" s="122"/>
      <c r="H33" s="122"/>
      <c r="I33" s="123">
        <v>200000</v>
      </c>
      <c r="J33" s="123"/>
      <c r="K33" s="123"/>
    </row>
    <row r="34" spans="2:11" ht="18" x14ac:dyDescent="0.35">
      <c r="B34" s="122" t="s">
        <v>162</v>
      </c>
      <c r="C34" s="122"/>
      <c r="D34" s="122"/>
      <c r="E34" s="122"/>
      <c r="F34" s="122"/>
      <c r="G34" s="122"/>
      <c r="H34" s="122"/>
      <c r="I34" s="123">
        <v>63700</v>
      </c>
      <c r="J34" s="123"/>
      <c r="K34" s="123"/>
    </row>
    <row r="35" spans="2:11" ht="18" x14ac:dyDescent="0.35">
      <c r="B35" s="122" t="s">
        <v>97</v>
      </c>
      <c r="C35" s="122"/>
      <c r="D35" s="122"/>
      <c r="E35" s="122"/>
      <c r="F35" s="122"/>
      <c r="G35" s="122"/>
      <c r="H35" s="122"/>
      <c r="I35" s="123">
        <v>50000</v>
      </c>
      <c r="J35" s="123"/>
      <c r="K35" s="123"/>
    </row>
    <row r="36" spans="2:11" ht="18" x14ac:dyDescent="0.35">
      <c r="B36" s="116" t="s">
        <v>142</v>
      </c>
      <c r="C36" s="117"/>
      <c r="D36" s="117"/>
      <c r="E36" s="117"/>
      <c r="F36" s="117"/>
      <c r="G36" s="117"/>
      <c r="H36" s="118"/>
      <c r="I36" s="119">
        <v>120000</v>
      </c>
      <c r="J36" s="120"/>
      <c r="K36" s="121"/>
    </row>
    <row r="40" spans="2:11" x14ac:dyDescent="0.3">
      <c r="C40"/>
      <c r="D40" s="103"/>
    </row>
    <row r="41" spans="2:11" x14ac:dyDescent="0.3">
      <c r="C41"/>
      <c r="D41" s="103"/>
    </row>
    <row r="42" spans="2:11" x14ac:dyDescent="0.3">
      <c r="C42"/>
      <c r="D42" s="103"/>
    </row>
    <row r="43" spans="2:11" x14ac:dyDescent="0.3">
      <c r="C43"/>
      <c r="D43" s="103"/>
    </row>
    <row r="44" spans="2:11" x14ac:dyDescent="0.3">
      <c r="C44"/>
      <c r="D44" s="103"/>
    </row>
    <row r="45" spans="2:11" x14ac:dyDescent="0.3">
      <c r="C45"/>
      <c r="D45" s="103"/>
    </row>
    <row r="46" spans="2:11" x14ac:dyDescent="0.3">
      <c r="C46"/>
      <c r="D46" s="103"/>
    </row>
    <row r="61" spans="3:4" x14ac:dyDescent="0.3">
      <c r="C61"/>
      <c r="D61" s="103"/>
    </row>
    <row r="62" spans="3:4" x14ac:dyDescent="0.3">
      <c r="C62"/>
      <c r="D62" s="103"/>
    </row>
    <row r="63" spans="3:4" x14ac:dyDescent="0.3">
      <c r="C63"/>
      <c r="D63" s="103"/>
    </row>
    <row r="64" spans="3:4" x14ac:dyDescent="0.3">
      <c r="C64"/>
      <c r="D64" s="103"/>
    </row>
    <row r="65" spans="3:4" x14ac:dyDescent="0.3">
      <c r="C65"/>
      <c r="D65" s="103"/>
    </row>
    <row r="66" spans="3:4" x14ac:dyDescent="0.3">
      <c r="C66"/>
    </row>
    <row r="69" spans="3:4" x14ac:dyDescent="0.3">
      <c r="C69"/>
      <c r="D69" s="103"/>
    </row>
    <row r="70" spans="3:4" x14ac:dyDescent="0.3">
      <c r="C70"/>
      <c r="D70" s="103"/>
    </row>
    <row r="71" spans="3:4" x14ac:dyDescent="0.3">
      <c r="C71"/>
      <c r="D71" s="103"/>
    </row>
    <row r="72" spans="3:4" x14ac:dyDescent="0.3">
      <c r="C72"/>
      <c r="D72" s="103"/>
    </row>
    <row r="73" spans="3:4" x14ac:dyDescent="0.3">
      <c r="C73"/>
      <c r="D73" s="103"/>
    </row>
    <row r="74" spans="3:4" x14ac:dyDescent="0.3">
      <c r="D74" s="107"/>
    </row>
    <row r="84" spans="3:4" x14ac:dyDescent="0.3">
      <c r="C84"/>
      <c r="D84" s="103"/>
    </row>
    <row r="85" spans="3:4" x14ac:dyDescent="0.3">
      <c r="C85"/>
      <c r="D85" s="103"/>
    </row>
    <row r="86" spans="3:4" x14ac:dyDescent="0.3">
      <c r="C86"/>
      <c r="D86" s="103"/>
    </row>
    <row r="87" spans="3:4" x14ac:dyDescent="0.3">
      <c r="C87"/>
      <c r="D87" s="103"/>
    </row>
    <row r="88" spans="3:4" x14ac:dyDescent="0.3">
      <c r="C88"/>
      <c r="D88" s="103"/>
    </row>
  </sheetData>
  <mergeCells count="59">
    <mergeCell ref="I23:K23"/>
    <mergeCell ref="B23:H23"/>
    <mergeCell ref="B24:H24"/>
    <mergeCell ref="I24:K24"/>
    <mergeCell ref="B25:H25"/>
    <mergeCell ref="I25:K25"/>
    <mergeCell ref="I21:K21"/>
    <mergeCell ref="B16:H16"/>
    <mergeCell ref="B17:H17"/>
    <mergeCell ref="B18:H18"/>
    <mergeCell ref="B19:H19"/>
    <mergeCell ref="B20:H20"/>
    <mergeCell ref="B21:H21"/>
    <mergeCell ref="I16:K16"/>
    <mergeCell ref="I17:K17"/>
    <mergeCell ref="I18:K18"/>
    <mergeCell ref="I19:K19"/>
    <mergeCell ref="I20:K20"/>
    <mergeCell ref="B34:H34"/>
    <mergeCell ref="I34:K34"/>
    <mergeCell ref="B33:H33"/>
    <mergeCell ref="I33:K33"/>
    <mergeCell ref="B30:H30"/>
    <mergeCell ref="I30:K30"/>
    <mergeCell ref="I31:K31"/>
    <mergeCell ref="I32:K32"/>
    <mergeCell ref="B2:K2"/>
    <mergeCell ref="B3:K3"/>
    <mergeCell ref="B4:K4"/>
    <mergeCell ref="B6:K6"/>
    <mergeCell ref="B7:H7"/>
    <mergeCell ref="I7:K7"/>
    <mergeCell ref="B8:H8"/>
    <mergeCell ref="I8:K8"/>
    <mergeCell ref="B9:H9"/>
    <mergeCell ref="I9:K9"/>
    <mergeCell ref="B10:H10"/>
    <mergeCell ref="I10:K10"/>
    <mergeCell ref="B12:K12"/>
    <mergeCell ref="B14:H14"/>
    <mergeCell ref="I14:K14"/>
    <mergeCell ref="B13:H13"/>
    <mergeCell ref="I13:K13"/>
    <mergeCell ref="B15:H15"/>
    <mergeCell ref="I15:K15"/>
    <mergeCell ref="B36:H36"/>
    <mergeCell ref="I36:K36"/>
    <mergeCell ref="B27:H27"/>
    <mergeCell ref="I27:K27"/>
    <mergeCell ref="B26:H26"/>
    <mergeCell ref="I26:K26"/>
    <mergeCell ref="B35:H35"/>
    <mergeCell ref="I35:K35"/>
    <mergeCell ref="B22:H22"/>
    <mergeCell ref="I22:K22"/>
    <mergeCell ref="B29:H29"/>
    <mergeCell ref="I29:K29"/>
    <mergeCell ref="B28:H28"/>
    <mergeCell ref="I28:K28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defaultSize="0" autoLine="0" autoPict="0">
                <anchor moveWithCells="1">
                  <from>
                    <xdr:col>8</xdr:col>
                    <xdr:colOff>7620</xdr:colOff>
                    <xdr:row>12</xdr:row>
                    <xdr:rowOff>7620</xdr:rowOff>
                  </from>
                  <to>
                    <xdr:col>10</xdr:col>
                    <xdr:colOff>480060</xdr:colOff>
                    <xdr:row>12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2:H30"/>
  <sheetViews>
    <sheetView showGridLines="0" topLeftCell="A3" workbookViewId="0">
      <selection activeCell="C5" sqref="C5"/>
    </sheetView>
  </sheetViews>
  <sheetFormatPr defaultRowHeight="18" x14ac:dyDescent="0.35"/>
  <cols>
    <col min="2" max="2" width="56" style="8" bestFit="1" customWidth="1"/>
    <col min="3" max="5" width="16.88671875" style="9" customWidth="1"/>
  </cols>
  <sheetData>
    <row r="2" spans="2:8" x14ac:dyDescent="0.3">
      <c r="B2" s="112" t="s">
        <v>60</v>
      </c>
      <c r="C2" s="112" t="s">
        <v>61</v>
      </c>
      <c r="D2" s="112" t="s">
        <v>62</v>
      </c>
      <c r="E2" s="112" t="s">
        <v>63</v>
      </c>
    </row>
    <row r="3" spans="2:8" x14ac:dyDescent="0.3">
      <c r="B3" s="108" t="s">
        <v>170</v>
      </c>
      <c r="C3" s="108"/>
      <c r="D3" s="108"/>
      <c r="E3" s="108"/>
    </row>
    <row r="4" spans="2:8" ht="36" x14ac:dyDescent="0.3">
      <c r="B4" s="17" t="s">
        <v>175</v>
      </c>
      <c r="C4" s="11">
        <v>5</v>
      </c>
      <c r="D4" s="12">
        <v>4500000</v>
      </c>
      <c r="E4" s="13">
        <f t="shared" ref="E4:E23" si="0">C4*D4</f>
        <v>22500000</v>
      </c>
      <c r="G4" s="113">
        <f>SUM(E4:E10)</f>
        <v>30050000</v>
      </c>
      <c r="H4" s="114">
        <f>G4/$E$24</f>
        <v>0.81493735423333513</v>
      </c>
    </row>
    <row r="5" spans="2:8" x14ac:dyDescent="0.3">
      <c r="B5" s="17" t="s">
        <v>176</v>
      </c>
      <c r="C5" s="11">
        <v>5</v>
      </c>
      <c r="D5" s="12">
        <v>150000</v>
      </c>
      <c r="E5" s="13">
        <f t="shared" si="0"/>
        <v>750000</v>
      </c>
    </row>
    <row r="6" spans="2:8" x14ac:dyDescent="0.3">
      <c r="B6" s="10" t="s">
        <v>201</v>
      </c>
      <c r="C6" s="11">
        <v>1</v>
      </c>
      <c r="D6" s="12">
        <v>1800000</v>
      </c>
      <c r="E6" s="13">
        <f t="shared" si="0"/>
        <v>1800000</v>
      </c>
    </row>
    <row r="7" spans="2:8" ht="36" x14ac:dyDescent="0.3">
      <c r="B7" s="17" t="s">
        <v>177</v>
      </c>
      <c r="C7" s="11">
        <v>1</v>
      </c>
      <c r="D7" s="12">
        <v>2100000</v>
      </c>
      <c r="E7" s="13">
        <f t="shared" si="0"/>
        <v>2100000</v>
      </c>
    </row>
    <row r="8" spans="2:8" x14ac:dyDescent="0.3">
      <c r="B8" s="10" t="s">
        <v>178</v>
      </c>
      <c r="C8" s="11">
        <v>1</v>
      </c>
      <c r="D8" s="12">
        <v>1050000</v>
      </c>
      <c r="E8" s="13">
        <f t="shared" si="0"/>
        <v>1050000</v>
      </c>
    </row>
    <row r="9" spans="2:8" x14ac:dyDescent="0.3">
      <c r="B9" s="10" t="s">
        <v>180</v>
      </c>
      <c r="C9" s="11">
        <v>1</v>
      </c>
      <c r="D9" s="12">
        <v>290000</v>
      </c>
      <c r="E9" s="13">
        <f t="shared" si="0"/>
        <v>290000</v>
      </c>
    </row>
    <row r="10" spans="2:8" x14ac:dyDescent="0.3">
      <c r="B10" s="10" t="s">
        <v>179</v>
      </c>
      <c r="C10" s="11">
        <v>3</v>
      </c>
      <c r="D10" s="12">
        <v>520000</v>
      </c>
      <c r="E10" s="13">
        <f>C10*D10</f>
        <v>1560000</v>
      </c>
    </row>
    <row r="11" spans="2:8" x14ac:dyDescent="0.3">
      <c r="B11" s="109" t="s">
        <v>171</v>
      </c>
      <c r="C11" s="110"/>
      <c r="D11" s="110"/>
      <c r="E11" s="111"/>
    </row>
    <row r="12" spans="2:8" x14ac:dyDescent="0.3">
      <c r="B12" s="10" t="s">
        <v>182</v>
      </c>
      <c r="C12" s="11">
        <v>1</v>
      </c>
      <c r="D12" s="12">
        <v>2250000</v>
      </c>
      <c r="E12" s="13">
        <f t="shared" si="0"/>
        <v>2250000</v>
      </c>
      <c r="G12" s="85"/>
      <c r="H12" s="103"/>
    </row>
    <row r="13" spans="2:8" x14ac:dyDescent="0.3">
      <c r="B13" s="10" t="s">
        <v>181</v>
      </c>
      <c r="C13" s="11">
        <v>5</v>
      </c>
      <c r="D13" s="12">
        <v>250000</v>
      </c>
      <c r="E13" s="13">
        <f t="shared" si="0"/>
        <v>1250000</v>
      </c>
    </row>
    <row r="14" spans="2:8" x14ac:dyDescent="0.3">
      <c r="B14" s="17" t="s">
        <v>194</v>
      </c>
      <c r="C14" s="11">
        <v>1</v>
      </c>
      <c r="D14" s="12">
        <v>2000000</v>
      </c>
      <c r="E14" s="13">
        <f t="shared" si="0"/>
        <v>2000000</v>
      </c>
    </row>
    <row r="15" spans="2:8" x14ac:dyDescent="0.3">
      <c r="B15" s="109" t="s">
        <v>172</v>
      </c>
      <c r="C15" s="109"/>
      <c r="D15" s="109"/>
      <c r="E15" s="109"/>
    </row>
    <row r="16" spans="2:8" x14ac:dyDescent="0.3">
      <c r="B16" s="17" t="s">
        <v>203</v>
      </c>
      <c r="C16" s="11">
        <v>1</v>
      </c>
      <c r="D16" s="12">
        <v>280000</v>
      </c>
      <c r="E16" s="13">
        <f t="shared" si="0"/>
        <v>280000</v>
      </c>
      <c r="G16" s="85"/>
      <c r="H16" s="103"/>
    </row>
    <row r="17" spans="2:5" x14ac:dyDescent="0.3">
      <c r="B17" s="10" t="s">
        <v>120</v>
      </c>
      <c r="C17" s="11">
        <v>1</v>
      </c>
      <c r="D17" s="12">
        <v>150000</v>
      </c>
      <c r="E17" s="13">
        <f t="shared" si="0"/>
        <v>150000</v>
      </c>
    </row>
    <row r="18" spans="2:5" x14ac:dyDescent="0.3">
      <c r="B18" s="10" t="s">
        <v>121</v>
      </c>
      <c r="C18" s="11">
        <v>1</v>
      </c>
      <c r="D18" s="12">
        <v>106000</v>
      </c>
      <c r="E18" s="13">
        <f t="shared" si="0"/>
        <v>106000</v>
      </c>
    </row>
    <row r="19" spans="2:5" x14ac:dyDescent="0.3">
      <c r="B19" s="10" t="s">
        <v>122</v>
      </c>
      <c r="C19" s="11">
        <v>1</v>
      </c>
      <c r="D19" s="12">
        <v>296000</v>
      </c>
      <c r="E19" s="13">
        <f t="shared" si="0"/>
        <v>296000</v>
      </c>
    </row>
    <row r="20" spans="2:5" x14ac:dyDescent="0.3">
      <c r="B20" s="10" t="s">
        <v>123</v>
      </c>
      <c r="C20" s="11">
        <v>1</v>
      </c>
      <c r="D20" s="12">
        <v>174000</v>
      </c>
      <c r="E20" s="13">
        <f t="shared" si="0"/>
        <v>174000</v>
      </c>
    </row>
    <row r="21" spans="2:5" x14ac:dyDescent="0.3">
      <c r="B21" s="10" t="s">
        <v>124</v>
      </c>
      <c r="C21" s="11">
        <v>1</v>
      </c>
      <c r="D21" s="12">
        <v>60000</v>
      </c>
      <c r="E21" s="13">
        <f t="shared" si="0"/>
        <v>60000</v>
      </c>
    </row>
    <row r="22" spans="2:5" x14ac:dyDescent="0.3">
      <c r="B22" s="10" t="s">
        <v>126</v>
      </c>
      <c r="C22" s="11">
        <v>4</v>
      </c>
      <c r="D22" s="12">
        <v>45500</v>
      </c>
      <c r="E22" s="13">
        <f t="shared" si="0"/>
        <v>182000</v>
      </c>
    </row>
    <row r="23" spans="2:5" x14ac:dyDescent="0.3">
      <c r="B23" s="10" t="s">
        <v>125</v>
      </c>
      <c r="C23" s="11">
        <v>1</v>
      </c>
      <c r="D23" s="12">
        <v>76000</v>
      </c>
      <c r="E23" s="13">
        <f t="shared" si="0"/>
        <v>76000</v>
      </c>
    </row>
    <row r="24" spans="2:5" ht="15.75" customHeight="1" x14ac:dyDescent="0.3">
      <c r="B24" s="14" t="s">
        <v>67</v>
      </c>
      <c r="C24" s="15"/>
      <c r="D24" s="15"/>
      <c r="E24" s="16">
        <f>SUM(E4:E23)</f>
        <v>36874000</v>
      </c>
    </row>
    <row r="28" spans="2:5" x14ac:dyDescent="0.35">
      <c r="C28" s="105"/>
    </row>
    <row r="29" spans="2:5" x14ac:dyDescent="0.35">
      <c r="C29" s="105"/>
    </row>
    <row r="30" spans="2:5" x14ac:dyDescent="0.35">
      <c r="C30" s="10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4"/>
  <dimension ref="A1:Y17"/>
  <sheetViews>
    <sheetView showGridLines="0" zoomScale="82" workbookViewId="0">
      <selection activeCell="C8" sqref="C8"/>
    </sheetView>
  </sheetViews>
  <sheetFormatPr defaultRowHeight="18" x14ac:dyDescent="0.35"/>
  <cols>
    <col min="1" max="1" width="40.88671875" bestFit="1" customWidth="1"/>
    <col min="2" max="2" width="13.6640625" style="8" customWidth="1"/>
    <col min="3" max="3" width="16.109375" style="8" customWidth="1"/>
    <col min="4" max="25" width="13.6640625" customWidth="1"/>
  </cols>
  <sheetData>
    <row r="1" spans="1:25" s="59" customFormat="1" ht="37.5" customHeight="1" x14ac:dyDescent="0.35">
      <c r="A1" s="57" t="s">
        <v>114</v>
      </c>
      <c r="B1" s="58" t="s">
        <v>104</v>
      </c>
      <c r="C1" s="58" t="s">
        <v>100</v>
      </c>
      <c r="D1" s="58" t="s">
        <v>105</v>
      </c>
      <c r="E1" s="72" t="s">
        <v>117</v>
      </c>
    </row>
    <row r="2" spans="1:25" x14ac:dyDescent="0.35">
      <c r="A2" s="51" t="s">
        <v>130</v>
      </c>
      <c r="B2" s="49">
        <v>0</v>
      </c>
      <c r="C2" s="55">
        <v>1</v>
      </c>
      <c r="D2" s="55">
        <f t="shared" ref="D2:D7" si="0">B2*C2</f>
        <v>0</v>
      </c>
      <c r="E2" s="71">
        <v>0</v>
      </c>
    </row>
    <row r="3" spans="1:25" x14ac:dyDescent="0.35">
      <c r="A3" s="51" t="s">
        <v>133</v>
      </c>
      <c r="B3" s="71">
        <v>370000</v>
      </c>
      <c r="C3" s="55">
        <v>1</v>
      </c>
      <c r="D3" s="87">
        <f t="shared" si="0"/>
        <v>370000</v>
      </c>
      <c r="E3" s="71">
        <f>B3+AVERAGE(B15:Y15)/C3</f>
        <v>420000</v>
      </c>
    </row>
    <row r="4" spans="1:25" x14ac:dyDescent="0.35">
      <c r="A4" s="51" t="s">
        <v>134</v>
      </c>
      <c r="B4" s="49">
        <v>200000</v>
      </c>
      <c r="C4" s="55">
        <v>1</v>
      </c>
      <c r="D4" s="87">
        <f t="shared" si="0"/>
        <v>200000</v>
      </c>
      <c r="E4" s="71">
        <f>B4</f>
        <v>200000</v>
      </c>
    </row>
    <row r="5" spans="1:25" x14ac:dyDescent="0.35">
      <c r="A5" s="51" t="s">
        <v>135</v>
      </c>
      <c r="B5" s="87">
        <v>370000</v>
      </c>
      <c r="C5" s="87">
        <v>1</v>
      </c>
      <c r="D5" s="87">
        <f t="shared" si="0"/>
        <v>370000</v>
      </c>
      <c r="E5" s="87">
        <f>B5</f>
        <v>370000</v>
      </c>
      <c r="G5" s="85"/>
    </row>
    <row r="6" spans="1:25" x14ac:dyDescent="0.35">
      <c r="A6" s="51" t="s">
        <v>136</v>
      </c>
      <c r="B6" s="87">
        <v>290000</v>
      </c>
      <c r="C6" s="87">
        <v>1</v>
      </c>
      <c r="D6" s="87">
        <f t="shared" si="0"/>
        <v>290000</v>
      </c>
      <c r="E6" s="87">
        <f>B6</f>
        <v>290000</v>
      </c>
    </row>
    <row r="7" spans="1:25" x14ac:dyDescent="0.35">
      <c r="A7" s="51" t="s">
        <v>137</v>
      </c>
      <c r="B7" s="87">
        <v>200000</v>
      </c>
      <c r="C7" s="87">
        <v>1</v>
      </c>
      <c r="D7" s="87">
        <f t="shared" si="0"/>
        <v>200000</v>
      </c>
      <c r="E7" s="87">
        <f>B7</f>
        <v>200000</v>
      </c>
    </row>
    <row r="8" spans="1:25" x14ac:dyDescent="0.35">
      <c r="A8" s="51" t="s">
        <v>101</v>
      </c>
      <c r="B8" s="49"/>
      <c r="C8" s="55"/>
      <c r="D8" s="55">
        <f>SUM(D2:D7)*0.3</f>
        <v>429000</v>
      </c>
      <c r="E8" s="87">
        <f>B8</f>
        <v>0</v>
      </c>
    </row>
    <row r="9" spans="1:25" x14ac:dyDescent="0.35">
      <c r="A9" s="52" t="s">
        <v>102</v>
      </c>
      <c r="B9" s="49"/>
      <c r="C9" s="55"/>
      <c r="D9" s="55">
        <f>SUM(D2:D8)</f>
        <v>1859000</v>
      </c>
      <c r="E9" s="71"/>
    </row>
    <row r="10" spans="1:25" x14ac:dyDescent="0.35">
      <c r="A10" s="8"/>
      <c r="B10" s="9"/>
      <c r="C10" s="9"/>
    </row>
    <row r="12" spans="1:25" x14ac:dyDescent="0.35">
      <c r="A12" s="73" t="s">
        <v>113</v>
      </c>
    </row>
    <row r="13" spans="1:25" x14ac:dyDescent="0.35">
      <c r="A13" s="75"/>
      <c r="B13" s="75" t="str">
        <f>Продажи!C3</f>
        <v>Июль</v>
      </c>
      <c r="C13" s="75" t="str">
        <f>Продажи!D3</f>
        <v>Август</v>
      </c>
      <c r="D13" s="75" t="str">
        <f>Продажи!E3</f>
        <v>Сентябрь</v>
      </c>
      <c r="E13" s="75" t="str">
        <f>Продажи!F3</f>
        <v>Октябрь</v>
      </c>
      <c r="F13" s="75" t="str">
        <f>Продажи!G3</f>
        <v>Ноябрь</v>
      </c>
      <c r="G13" s="75" t="str">
        <f>Продажи!H3</f>
        <v>Декабрь</v>
      </c>
      <c r="H13" s="75" t="str">
        <f>Продажи!I3</f>
        <v>Январь</v>
      </c>
      <c r="I13" s="75" t="str">
        <f>Продажи!J3</f>
        <v>Февраль</v>
      </c>
      <c r="J13" s="75" t="str">
        <f>Продажи!K3</f>
        <v>Март</v>
      </c>
      <c r="K13" s="75" t="str">
        <f>Продажи!L3</f>
        <v>Апрель</v>
      </c>
      <c r="L13" s="75" t="str">
        <f>Продажи!M3</f>
        <v>Май</v>
      </c>
      <c r="M13" s="75" t="str">
        <f>Продажи!N3</f>
        <v>Июнь</v>
      </c>
      <c r="N13" s="75" t="str">
        <f>Продажи!O3</f>
        <v>Июль</v>
      </c>
      <c r="O13" s="75" t="str">
        <f>Продажи!P3</f>
        <v>Август</v>
      </c>
      <c r="P13" s="75" t="str">
        <f>Продажи!Q3</f>
        <v>Сентябрь</v>
      </c>
      <c r="Q13" s="75" t="str">
        <f>Продажи!R3</f>
        <v>Октябрь</v>
      </c>
      <c r="R13" s="75" t="str">
        <f>Продажи!S3</f>
        <v>Ноябрь</v>
      </c>
      <c r="S13" s="75" t="str">
        <f>Продажи!T3</f>
        <v>Декабрь</v>
      </c>
      <c r="T13" s="75" t="str">
        <f>Продажи!U3</f>
        <v>Январь</v>
      </c>
      <c r="U13" s="75" t="str">
        <f>Продажи!V3</f>
        <v>Февраль</v>
      </c>
      <c r="V13" s="75" t="str">
        <f>Продажи!W3</f>
        <v>Март</v>
      </c>
      <c r="W13" s="75" t="str">
        <f>Продажи!X3</f>
        <v>Апрель</v>
      </c>
      <c r="X13" s="75" t="str">
        <f>Продажи!Y3</f>
        <v>Май</v>
      </c>
      <c r="Y13" s="75" t="str">
        <f>Продажи!Z3</f>
        <v>Июнь</v>
      </c>
    </row>
    <row r="14" spans="1:25" x14ac:dyDescent="0.35">
      <c r="A14" s="51" t="s">
        <v>130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</row>
    <row r="15" spans="1:25" x14ac:dyDescent="0.35">
      <c r="A15" s="51" t="s">
        <v>140</v>
      </c>
      <c r="B15" s="74">
        <v>50000</v>
      </c>
      <c r="C15" s="74">
        <v>50000</v>
      </c>
      <c r="D15" s="74">
        <v>50000</v>
      </c>
      <c r="E15" s="74">
        <v>50000</v>
      </c>
      <c r="F15" s="74">
        <v>50000</v>
      </c>
      <c r="G15" s="74">
        <v>50000</v>
      </c>
      <c r="H15" s="74">
        <v>50000</v>
      </c>
      <c r="I15" s="74">
        <v>50000</v>
      </c>
      <c r="J15" s="74">
        <v>50000</v>
      </c>
      <c r="K15" s="74">
        <v>50000</v>
      </c>
      <c r="L15" s="74">
        <v>50000</v>
      </c>
      <c r="M15" s="74">
        <v>50000</v>
      </c>
      <c r="N15" s="74">
        <v>50000</v>
      </c>
      <c r="O15" s="74">
        <v>50000</v>
      </c>
      <c r="P15" s="74">
        <v>50000</v>
      </c>
      <c r="Q15" s="74">
        <v>50000</v>
      </c>
      <c r="R15" s="74">
        <v>50000</v>
      </c>
      <c r="S15" s="74">
        <v>50000</v>
      </c>
      <c r="T15" s="74">
        <v>50000</v>
      </c>
      <c r="U15" s="74">
        <v>50000</v>
      </c>
      <c r="V15" s="74">
        <v>50000</v>
      </c>
      <c r="W15" s="74">
        <v>50000</v>
      </c>
      <c r="X15" s="74">
        <v>50000</v>
      </c>
      <c r="Y15" s="74">
        <v>50000</v>
      </c>
    </row>
    <row r="16" spans="1:25" x14ac:dyDescent="0.35">
      <c r="A16" s="51" t="s">
        <v>115</v>
      </c>
      <c r="B16" s="74">
        <f>$D$9</f>
        <v>1859000</v>
      </c>
      <c r="C16" s="74">
        <f t="shared" ref="C16:X16" si="1">$D$9</f>
        <v>1859000</v>
      </c>
      <c r="D16" s="74">
        <f t="shared" si="1"/>
        <v>1859000</v>
      </c>
      <c r="E16" s="74">
        <f t="shared" si="1"/>
        <v>1859000</v>
      </c>
      <c r="F16" s="74">
        <f t="shared" si="1"/>
        <v>1859000</v>
      </c>
      <c r="G16" s="74">
        <f t="shared" si="1"/>
        <v>1859000</v>
      </c>
      <c r="H16" s="74">
        <f t="shared" si="1"/>
        <v>1859000</v>
      </c>
      <c r="I16" s="74">
        <f t="shared" si="1"/>
        <v>1859000</v>
      </c>
      <c r="J16" s="74">
        <f>I16</f>
        <v>1859000</v>
      </c>
      <c r="K16" s="74">
        <f t="shared" si="1"/>
        <v>1859000</v>
      </c>
      <c r="L16" s="74">
        <f t="shared" si="1"/>
        <v>1859000</v>
      </c>
      <c r="M16" s="74">
        <f>I16</f>
        <v>1859000</v>
      </c>
      <c r="N16" s="74">
        <f t="shared" si="1"/>
        <v>1859000</v>
      </c>
      <c r="O16" s="74">
        <f t="shared" si="1"/>
        <v>1859000</v>
      </c>
      <c r="P16" s="74">
        <f t="shared" si="1"/>
        <v>1859000</v>
      </c>
      <c r="Q16" s="74">
        <f t="shared" si="1"/>
        <v>1859000</v>
      </c>
      <c r="R16" s="74">
        <f t="shared" si="1"/>
        <v>1859000</v>
      </c>
      <c r="S16" s="74">
        <f t="shared" si="1"/>
        <v>1859000</v>
      </c>
      <c r="T16" s="74">
        <f t="shared" si="1"/>
        <v>1859000</v>
      </c>
      <c r="U16" s="74">
        <f>J16</f>
        <v>1859000</v>
      </c>
      <c r="V16" s="74">
        <f>U16</f>
        <v>1859000</v>
      </c>
      <c r="W16" s="74">
        <f t="shared" si="1"/>
        <v>1859000</v>
      </c>
      <c r="X16" s="74">
        <f t="shared" si="1"/>
        <v>1859000</v>
      </c>
      <c r="Y16" s="74">
        <f>U16</f>
        <v>1859000</v>
      </c>
    </row>
    <row r="17" spans="1:25" x14ac:dyDescent="0.35">
      <c r="A17" s="52" t="s">
        <v>102</v>
      </c>
      <c r="B17" s="74">
        <f t="shared" ref="B17:Y17" si="2">SUM(B14:B16)</f>
        <v>1909000</v>
      </c>
      <c r="C17" s="74">
        <f t="shared" si="2"/>
        <v>1909000</v>
      </c>
      <c r="D17" s="74">
        <f t="shared" si="2"/>
        <v>1909000</v>
      </c>
      <c r="E17" s="74">
        <f t="shared" si="2"/>
        <v>1909000</v>
      </c>
      <c r="F17" s="74">
        <f t="shared" si="2"/>
        <v>1909000</v>
      </c>
      <c r="G17" s="74">
        <f t="shared" si="2"/>
        <v>1909000</v>
      </c>
      <c r="H17" s="74">
        <f t="shared" si="2"/>
        <v>1909000</v>
      </c>
      <c r="I17" s="74">
        <f t="shared" si="2"/>
        <v>1909000</v>
      </c>
      <c r="J17" s="74">
        <f t="shared" si="2"/>
        <v>1909000</v>
      </c>
      <c r="K17" s="74">
        <f t="shared" si="2"/>
        <v>1909000</v>
      </c>
      <c r="L17" s="74">
        <f t="shared" si="2"/>
        <v>1909000</v>
      </c>
      <c r="M17" s="74">
        <f t="shared" si="2"/>
        <v>1909000</v>
      </c>
      <c r="N17" s="74">
        <f t="shared" si="2"/>
        <v>1909000</v>
      </c>
      <c r="O17" s="74">
        <f t="shared" si="2"/>
        <v>1909000</v>
      </c>
      <c r="P17" s="74">
        <f t="shared" si="2"/>
        <v>1909000</v>
      </c>
      <c r="Q17" s="74">
        <f t="shared" si="2"/>
        <v>1909000</v>
      </c>
      <c r="R17" s="74">
        <f t="shared" si="2"/>
        <v>1909000</v>
      </c>
      <c r="S17" s="74">
        <f t="shared" si="2"/>
        <v>1909000</v>
      </c>
      <c r="T17" s="74">
        <f t="shared" si="2"/>
        <v>1909000</v>
      </c>
      <c r="U17" s="74">
        <f t="shared" si="2"/>
        <v>1909000</v>
      </c>
      <c r="V17" s="74">
        <f t="shared" si="2"/>
        <v>1909000</v>
      </c>
      <c r="W17" s="74">
        <f t="shared" si="2"/>
        <v>1909000</v>
      </c>
      <c r="X17" s="74">
        <f t="shared" si="2"/>
        <v>1909000</v>
      </c>
      <c r="Y17" s="74">
        <f t="shared" si="2"/>
        <v>1909000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B2:D72"/>
  <sheetViews>
    <sheetView showGridLines="0" topLeftCell="A4" workbookViewId="0">
      <selection activeCell="C22" sqref="C22"/>
    </sheetView>
  </sheetViews>
  <sheetFormatPr defaultRowHeight="18" x14ac:dyDescent="0.35"/>
  <cols>
    <col min="2" max="2" width="96.88671875" style="20" bestFit="1" customWidth="1"/>
    <col min="3" max="3" width="18.44140625" style="61" customWidth="1"/>
  </cols>
  <sheetData>
    <row r="2" spans="2:4" x14ac:dyDescent="0.35">
      <c r="B2" s="132" t="s">
        <v>0</v>
      </c>
      <c r="C2" s="132"/>
    </row>
    <row r="3" spans="2:4" x14ac:dyDescent="0.3">
      <c r="B3" s="17" t="s">
        <v>116</v>
      </c>
      <c r="C3" s="26">
        <v>50000</v>
      </c>
      <c r="D3" s="104"/>
    </row>
    <row r="4" spans="2:4" ht="36" x14ac:dyDescent="0.3">
      <c r="B4" s="17" t="s">
        <v>127</v>
      </c>
      <c r="C4" s="26">
        <v>100000</v>
      </c>
      <c r="D4" s="104"/>
    </row>
    <row r="5" spans="2:4" x14ac:dyDescent="0.3">
      <c r="B5" s="17" t="s">
        <v>183</v>
      </c>
      <c r="C5" s="26">
        <v>1300000</v>
      </c>
      <c r="D5" s="104"/>
    </row>
    <row r="6" spans="2:4" x14ac:dyDescent="0.3">
      <c r="B6" s="17" t="s">
        <v>185</v>
      </c>
      <c r="C6" s="26">
        <v>190000</v>
      </c>
      <c r="D6" s="104"/>
    </row>
    <row r="7" spans="2:4" x14ac:dyDescent="0.35">
      <c r="B7" s="60" t="s">
        <v>106</v>
      </c>
      <c r="C7" s="55">
        <v>150000</v>
      </c>
      <c r="D7" s="103"/>
    </row>
    <row r="8" spans="2:4" x14ac:dyDescent="0.3">
      <c r="B8" s="17" t="s">
        <v>186</v>
      </c>
      <c r="C8" s="26">
        <v>410000</v>
      </c>
      <c r="D8" s="103"/>
    </row>
    <row r="9" spans="2:4" x14ac:dyDescent="0.3">
      <c r="B9" s="17" t="s">
        <v>95</v>
      </c>
      <c r="C9" s="26">
        <f>Оборудование!E24</f>
        <v>36874000</v>
      </c>
      <c r="D9" s="103"/>
    </row>
    <row r="10" spans="2:4" x14ac:dyDescent="0.3">
      <c r="B10" s="17" t="s">
        <v>128</v>
      </c>
      <c r="C10" s="26">
        <v>550000</v>
      </c>
      <c r="D10" s="103"/>
    </row>
    <row r="11" spans="2:4" x14ac:dyDescent="0.35">
      <c r="B11" s="18" t="s">
        <v>14</v>
      </c>
      <c r="C11" s="19">
        <f>SUM(C3:C10)</f>
        <v>39624000</v>
      </c>
    </row>
    <row r="13" spans="2:4" x14ac:dyDescent="0.35">
      <c r="B13" s="133" t="s">
        <v>1</v>
      </c>
      <c r="C13" s="134"/>
    </row>
    <row r="14" spans="2:4" x14ac:dyDescent="0.3">
      <c r="B14" s="17" t="s">
        <v>107</v>
      </c>
      <c r="C14" s="26">
        <f>AVERAGE(Затраты!B10:Y10)</f>
        <v>1909000</v>
      </c>
    </row>
    <row r="15" spans="2:4" x14ac:dyDescent="0.3">
      <c r="B15" s="17" t="s">
        <v>141</v>
      </c>
      <c r="C15" s="26">
        <v>2500</v>
      </c>
    </row>
    <row r="16" spans="2:4" x14ac:dyDescent="0.3">
      <c r="B16" s="17" t="s">
        <v>93</v>
      </c>
      <c r="C16" s="26">
        <v>22180</v>
      </c>
    </row>
    <row r="17" spans="2:3" x14ac:dyDescent="0.3">
      <c r="B17" s="17" t="s">
        <v>162</v>
      </c>
      <c r="C17" s="26">
        <v>237000</v>
      </c>
    </row>
    <row r="18" spans="2:3" x14ac:dyDescent="0.3">
      <c r="B18" s="17" t="s">
        <v>96</v>
      </c>
      <c r="C18" s="26">
        <f>'Титульный лист'!I33</f>
        <v>200000</v>
      </c>
    </row>
    <row r="19" spans="2:3" x14ac:dyDescent="0.3">
      <c r="B19" s="17" t="s">
        <v>97</v>
      </c>
      <c r="C19" s="26">
        <f>'Титульный лист'!$I$35</f>
        <v>50000</v>
      </c>
    </row>
    <row r="20" spans="2:3" x14ac:dyDescent="0.3">
      <c r="B20" s="17" t="s">
        <v>94</v>
      </c>
      <c r="C20" s="26">
        <v>500000</v>
      </c>
    </row>
    <row r="21" spans="2:3" x14ac:dyDescent="0.3">
      <c r="B21" s="17" t="s">
        <v>70</v>
      </c>
      <c r="C21" s="26">
        <v>200000</v>
      </c>
    </row>
    <row r="22" spans="2:3" x14ac:dyDescent="0.35">
      <c r="B22" s="18" t="s">
        <v>14</v>
      </c>
      <c r="C22" s="21">
        <f>SUM(C14:C21)</f>
        <v>3120680</v>
      </c>
    </row>
    <row r="23" spans="2:3" x14ac:dyDescent="0.35">
      <c r="B23" s="22"/>
    </row>
    <row r="24" spans="2:3" x14ac:dyDescent="0.35">
      <c r="C24" s="25"/>
    </row>
    <row r="25" spans="2:3" x14ac:dyDescent="0.35">
      <c r="B25" s="23"/>
      <c r="C25" s="103"/>
    </row>
    <row r="26" spans="2:3" x14ac:dyDescent="0.35">
      <c r="B26" s="23"/>
      <c r="C26" s="103"/>
    </row>
    <row r="27" spans="2:3" x14ac:dyDescent="0.35">
      <c r="B27" s="23"/>
      <c r="C27" s="103"/>
    </row>
    <row r="28" spans="2:3" x14ac:dyDescent="0.35">
      <c r="B28" s="23"/>
      <c r="C28" s="103"/>
    </row>
    <row r="29" spans="2:3" x14ac:dyDescent="0.35">
      <c r="B29" s="23"/>
      <c r="C29" s="103"/>
    </row>
    <row r="30" spans="2:3" x14ac:dyDescent="0.35">
      <c r="B30" s="23"/>
      <c r="C30" s="103"/>
    </row>
    <row r="31" spans="2:3" x14ac:dyDescent="0.35">
      <c r="B31" s="23"/>
      <c r="C31" s="103"/>
    </row>
    <row r="32" spans="2:3" x14ac:dyDescent="0.35">
      <c r="B32" s="23"/>
      <c r="C32" s="103"/>
    </row>
    <row r="33" spans="2:3" x14ac:dyDescent="0.35">
      <c r="B33" s="23"/>
      <c r="C33" s="25"/>
    </row>
    <row r="34" spans="2:3" x14ac:dyDescent="0.35">
      <c r="B34" s="23"/>
      <c r="C34" s="62"/>
    </row>
    <row r="35" spans="2:3" x14ac:dyDescent="0.35">
      <c r="B35" s="23"/>
      <c r="C35" s="62"/>
    </row>
    <row r="36" spans="2:3" x14ac:dyDescent="0.35">
      <c r="B36" s="23"/>
      <c r="C36" s="62"/>
    </row>
    <row r="37" spans="2:3" x14ac:dyDescent="0.35">
      <c r="B37" s="23"/>
      <c r="C37" s="62"/>
    </row>
    <row r="38" spans="2:3" x14ac:dyDescent="0.35">
      <c r="B38" s="23"/>
      <c r="C38" s="62"/>
    </row>
    <row r="39" spans="2:3" x14ac:dyDescent="0.35">
      <c r="B39" s="23"/>
      <c r="C39" s="62"/>
    </row>
    <row r="40" spans="2:3" x14ac:dyDescent="0.35">
      <c r="B40" s="23"/>
      <c r="C40" s="62"/>
    </row>
    <row r="41" spans="2:3" x14ac:dyDescent="0.35">
      <c r="B41" s="23"/>
      <c r="C41" s="62"/>
    </row>
    <row r="42" spans="2:3" x14ac:dyDescent="0.35">
      <c r="B42" s="23"/>
      <c r="C42" s="62"/>
    </row>
    <row r="43" spans="2:3" x14ac:dyDescent="0.35">
      <c r="B43" s="23"/>
      <c r="C43" s="62"/>
    </row>
    <row r="44" spans="2:3" x14ac:dyDescent="0.35">
      <c r="B44" s="23"/>
      <c r="C44" s="62"/>
    </row>
    <row r="45" spans="2:3" x14ac:dyDescent="0.35">
      <c r="B45" s="23"/>
      <c r="C45" s="62"/>
    </row>
    <row r="46" spans="2:3" x14ac:dyDescent="0.35">
      <c r="B46" s="23"/>
      <c r="C46" s="62"/>
    </row>
    <row r="47" spans="2:3" x14ac:dyDescent="0.35">
      <c r="B47" s="23"/>
      <c r="C47" s="62"/>
    </row>
    <row r="48" spans="2:3" x14ac:dyDescent="0.35">
      <c r="B48" s="23"/>
      <c r="C48" s="62"/>
    </row>
    <row r="49" spans="2:3" x14ac:dyDescent="0.35">
      <c r="B49" s="23"/>
      <c r="C49" s="62"/>
    </row>
    <row r="50" spans="2:3" x14ac:dyDescent="0.35">
      <c r="B50" s="23"/>
      <c r="C50" s="62"/>
    </row>
    <row r="51" spans="2:3" x14ac:dyDescent="0.35">
      <c r="B51" s="23"/>
      <c r="C51" s="62"/>
    </row>
    <row r="52" spans="2:3" x14ac:dyDescent="0.35">
      <c r="B52" s="23"/>
      <c r="C52" s="62"/>
    </row>
    <row r="53" spans="2:3" x14ac:dyDescent="0.35">
      <c r="C53" s="25"/>
    </row>
    <row r="54" spans="2:3" x14ac:dyDescent="0.35">
      <c r="C54" s="25"/>
    </row>
    <row r="55" spans="2:3" x14ac:dyDescent="0.35">
      <c r="B55" s="24"/>
      <c r="C55" s="63"/>
    </row>
    <row r="56" spans="2:3" x14ac:dyDescent="0.35">
      <c r="C56" s="25"/>
    </row>
    <row r="57" spans="2:3" x14ac:dyDescent="0.35">
      <c r="C57" s="25"/>
    </row>
    <row r="58" spans="2:3" x14ac:dyDescent="0.35">
      <c r="C58" s="25"/>
    </row>
    <row r="59" spans="2:3" x14ac:dyDescent="0.35">
      <c r="C59" s="25"/>
    </row>
    <row r="60" spans="2:3" x14ac:dyDescent="0.35">
      <c r="C60" s="25"/>
    </row>
    <row r="61" spans="2:3" x14ac:dyDescent="0.35">
      <c r="C61" s="25"/>
    </row>
    <row r="62" spans="2:3" x14ac:dyDescent="0.35">
      <c r="C62" s="25"/>
    </row>
    <row r="63" spans="2:3" x14ac:dyDescent="0.35">
      <c r="C63" s="25"/>
    </row>
    <row r="64" spans="2:3" x14ac:dyDescent="0.35">
      <c r="C64" s="25"/>
    </row>
    <row r="65" spans="2:3" x14ac:dyDescent="0.35">
      <c r="B65" s="24"/>
      <c r="C65" s="63"/>
    </row>
    <row r="66" spans="2:3" x14ac:dyDescent="0.35">
      <c r="C66" s="25"/>
    </row>
    <row r="67" spans="2:3" x14ac:dyDescent="0.35">
      <c r="C67" s="25"/>
    </row>
    <row r="68" spans="2:3" x14ac:dyDescent="0.35">
      <c r="C68" s="25"/>
    </row>
    <row r="69" spans="2:3" x14ac:dyDescent="0.35">
      <c r="C69" s="25"/>
    </row>
    <row r="70" spans="2:3" x14ac:dyDescent="0.35">
      <c r="C70" s="25"/>
    </row>
    <row r="71" spans="2:3" x14ac:dyDescent="0.35">
      <c r="C71" s="25"/>
    </row>
    <row r="72" spans="2:3" x14ac:dyDescent="0.35">
      <c r="C72" s="25"/>
    </row>
  </sheetData>
  <mergeCells count="2">
    <mergeCell ref="B2:C2"/>
    <mergeCell ref="B13:C1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5"/>
  <dimension ref="A1:Z34"/>
  <sheetViews>
    <sheetView showGridLines="0" zoomScale="85" workbookViewId="0">
      <selection activeCell="C5" sqref="C5:Z5"/>
    </sheetView>
  </sheetViews>
  <sheetFormatPr defaultColWidth="9.109375" defaultRowHeight="18" x14ac:dyDescent="0.35"/>
  <cols>
    <col min="1" max="1" width="23.33203125" style="45" bestFit="1" customWidth="1"/>
    <col min="2" max="2" width="64.6640625" style="66" bestFit="1" customWidth="1"/>
    <col min="3" max="3" width="12" style="66" bestFit="1" customWidth="1"/>
    <col min="4" max="4" width="20" style="66" bestFit="1" customWidth="1"/>
    <col min="5" max="5" width="12.44140625" style="66" bestFit="1" customWidth="1"/>
    <col min="6" max="11" width="12.44140625" style="45" bestFit="1" customWidth="1"/>
    <col min="12" max="26" width="12.109375" style="45" bestFit="1" customWidth="1"/>
    <col min="27" max="16384" width="9.109375" style="65"/>
  </cols>
  <sheetData>
    <row r="1" spans="1:26" x14ac:dyDescent="0.35">
      <c r="A1" s="136" t="s">
        <v>30</v>
      </c>
      <c r="B1" s="136" t="s">
        <v>31</v>
      </c>
      <c r="C1" s="135" t="s">
        <v>184</v>
      </c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</row>
    <row r="2" spans="1:26" x14ac:dyDescent="0.35">
      <c r="A2" s="137"/>
      <c r="B2" s="137"/>
      <c r="C2" s="56" t="s">
        <v>2</v>
      </c>
      <c r="D2" s="56" t="s">
        <v>3</v>
      </c>
      <c r="E2" s="56" t="s">
        <v>4</v>
      </c>
      <c r="F2" s="56" t="s">
        <v>5</v>
      </c>
      <c r="G2" s="56" t="s">
        <v>6</v>
      </c>
      <c r="H2" s="56" t="s">
        <v>7</v>
      </c>
      <c r="I2" s="56" t="s">
        <v>8</v>
      </c>
      <c r="J2" s="56" t="s">
        <v>9</v>
      </c>
      <c r="K2" s="56" t="s">
        <v>10</v>
      </c>
      <c r="L2" s="56" t="s">
        <v>11</v>
      </c>
      <c r="M2" s="56" t="s">
        <v>12</v>
      </c>
      <c r="N2" s="56" t="s">
        <v>13</v>
      </c>
      <c r="O2" s="56" t="s">
        <v>32</v>
      </c>
      <c r="P2" s="56" t="s">
        <v>33</v>
      </c>
      <c r="Q2" s="56" t="s">
        <v>34</v>
      </c>
      <c r="R2" s="56" t="s">
        <v>35</v>
      </c>
      <c r="S2" s="56" t="s">
        <v>36</v>
      </c>
      <c r="T2" s="56" t="s">
        <v>37</v>
      </c>
      <c r="U2" s="56" t="s">
        <v>38</v>
      </c>
      <c r="V2" s="56" t="s">
        <v>39</v>
      </c>
      <c r="W2" s="56" t="s">
        <v>40</v>
      </c>
      <c r="X2" s="56" t="s">
        <v>41</v>
      </c>
      <c r="Y2" s="56" t="s">
        <v>42</v>
      </c>
      <c r="Z2" s="56" t="s">
        <v>43</v>
      </c>
    </row>
    <row r="3" spans="1:26" x14ac:dyDescent="0.35">
      <c r="A3" s="138"/>
      <c r="B3" s="138"/>
      <c r="C3" s="56" t="str">
        <f>VLOOKUP('Титульный лист'!$I$13,К!$A$3:$B$14,2,FALSE)</f>
        <v>Июль</v>
      </c>
      <c r="D3" s="56" t="str">
        <f>VLOOKUP('Титульный лист'!$I$13,К!$A$3:$Z$14,3,FALSE)</f>
        <v>Август</v>
      </c>
      <c r="E3" s="56" t="str">
        <f>VLOOKUP('Титульный лист'!$I$13,К!$A$3:$Z$14,4,FALSE)</f>
        <v>Сентябрь</v>
      </c>
      <c r="F3" s="56" t="str">
        <f>VLOOKUP('Титульный лист'!$I$13,К!$A$3:$Z$14,5,FALSE)</f>
        <v>Октябрь</v>
      </c>
      <c r="G3" s="56" t="str">
        <f>VLOOKUP('Титульный лист'!$I$13,К!$A$3:$Z$14,6,FALSE)</f>
        <v>Ноябрь</v>
      </c>
      <c r="H3" s="56" t="str">
        <f>VLOOKUP('Титульный лист'!$I$13,К!$A$3:$Z$14,7,FALSE)</f>
        <v>Декабрь</v>
      </c>
      <c r="I3" s="56" t="str">
        <f>VLOOKUP('Титульный лист'!$I$13,К!$A$3:$Z$14,8,FALSE)</f>
        <v>Январь</v>
      </c>
      <c r="J3" s="56" t="str">
        <f>VLOOKUP('Титульный лист'!$I$13,К!$A$3:$Z$14,9,FALSE)</f>
        <v>Февраль</v>
      </c>
      <c r="K3" s="56" t="str">
        <f>VLOOKUP('Титульный лист'!$I$13,К!$A$3:$Z$14,10,FALSE)</f>
        <v>Март</v>
      </c>
      <c r="L3" s="56" t="str">
        <f>VLOOKUP('Титульный лист'!$I$13,К!$A$3:$Z$14,11,FALSE)</f>
        <v>Апрель</v>
      </c>
      <c r="M3" s="56" t="str">
        <f>VLOOKUP('Титульный лист'!$I$13,К!$A$3:$Z$14,12,FALSE)</f>
        <v>Май</v>
      </c>
      <c r="N3" s="56" t="str">
        <f>VLOOKUP('Титульный лист'!$I$13,К!$A$3:$Z$14,13,FALSE)</f>
        <v>Июнь</v>
      </c>
      <c r="O3" s="56" t="str">
        <f>VLOOKUP('Титульный лист'!$I$13,К!$A$3:$Z$14,14,FALSE)</f>
        <v>Июль</v>
      </c>
      <c r="P3" s="56" t="str">
        <f>VLOOKUP('Титульный лист'!$I$13,К!$A$3:$Z$14,15,FALSE)</f>
        <v>Август</v>
      </c>
      <c r="Q3" s="56" t="str">
        <f>VLOOKUP('Титульный лист'!$I$13,К!$A$3:$Z$14,16,FALSE)</f>
        <v>Сентябрь</v>
      </c>
      <c r="R3" s="56" t="str">
        <f>VLOOKUP('Титульный лист'!$I$13,К!$A$3:$Z$14,17,FALSE)</f>
        <v>Октябрь</v>
      </c>
      <c r="S3" s="56" t="str">
        <f>VLOOKUP('Титульный лист'!$I$13,К!$A$3:$Z$14,18,FALSE)</f>
        <v>Ноябрь</v>
      </c>
      <c r="T3" s="56" t="str">
        <f>VLOOKUP('Титульный лист'!$I$13,К!$A$3:$Z$14,19,FALSE)</f>
        <v>Декабрь</v>
      </c>
      <c r="U3" s="56" t="str">
        <f>VLOOKUP('Титульный лист'!$I$13,К!$A$3:$Z$14,20,FALSE)</f>
        <v>Январь</v>
      </c>
      <c r="V3" s="56" t="str">
        <f>VLOOKUP('Титульный лист'!$I$13,К!$A$3:$Z$14,21,FALSE)</f>
        <v>Февраль</v>
      </c>
      <c r="W3" s="56" t="str">
        <f>VLOOKUP('Титульный лист'!$I$13,К!$A$3:$Z$14,22,FALSE)</f>
        <v>Март</v>
      </c>
      <c r="X3" s="56" t="str">
        <f>VLOOKUP('Титульный лист'!$I$13,К!$A$3:$Z$14,23,FALSE)</f>
        <v>Апрель</v>
      </c>
      <c r="Y3" s="56" t="str">
        <f>VLOOKUP('Титульный лист'!$I$13,К!$A$3:$Z$14,24,FALSE)</f>
        <v>Май</v>
      </c>
      <c r="Z3" s="56" t="str">
        <f>VLOOKUP('Титульный лист'!$I$13,К!$A$3:$Z$14,25,FALSE)</f>
        <v>Июнь</v>
      </c>
    </row>
    <row r="4" spans="1:26" x14ac:dyDescent="0.35">
      <c r="A4" s="139" t="s">
        <v>69</v>
      </c>
      <c r="B4" s="27" t="s">
        <v>187</v>
      </c>
      <c r="C4" s="28">
        <f>(VLOOKUP('Титульный лист'!$I$13,К!$A$17:$Y$28,2,FALSE))*'Титульный лист'!$I$14*К!B30</f>
        <v>91</v>
      </c>
      <c r="D4" s="28">
        <f>(VLOOKUP('Титульный лист'!$I$13,К!$A$17:$Y$28,3,FALSE))*К!C30*'Титульный лист'!$I$14</f>
        <v>84</v>
      </c>
      <c r="E4" s="28">
        <f>(VLOOKUP('Титульный лист'!$I$13,К!$A$17:$Y$28,4,FALSE))*К!D30*'Титульный лист'!$I$14</f>
        <v>90</v>
      </c>
      <c r="F4" s="28">
        <f>(VLOOKUP('Титульный лист'!$I$13,К!$A$17:$Y$28,5,FALSE))*К!E30*'Титульный лист'!$I$14</f>
        <v>90</v>
      </c>
      <c r="G4" s="28">
        <f>(VLOOKUP('Титульный лист'!$I$13,К!$A$17:$Y$28,6,FALSE))*К!F30*'Титульный лист'!$I$14</f>
        <v>80</v>
      </c>
      <c r="H4" s="28">
        <f>(VLOOKUP('Титульный лист'!$I$13,К!$A$17:$Y$28,7,FALSE))*К!G30*'Титульный лист'!$I$14</f>
        <v>90</v>
      </c>
      <c r="I4" s="28">
        <f>(VLOOKUP('Титульный лист'!$I$13,К!$A$17:$Y$28,8,FALSE))*К!H30*'Титульный лист'!$I$14</f>
        <v>90</v>
      </c>
      <c r="J4" s="28">
        <v>105</v>
      </c>
      <c r="K4" s="28">
        <v>102</v>
      </c>
      <c r="L4" s="28">
        <v>96</v>
      </c>
      <c r="M4" s="28">
        <v>96</v>
      </c>
      <c r="N4" s="28">
        <v>102</v>
      </c>
      <c r="O4" s="28">
        <v>105</v>
      </c>
      <c r="P4" s="28">
        <f>(VLOOKUP('Титульный лист'!$I$13,К!$A$17:$Y$28,15,FALSE))*К!O30*'Титульный лист'!$I$14</f>
        <v>96</v>
      </c>
      <c r="Q4" s="28">
        <f>(VLOOKUP('Титульный лист'!$I$13,К!$A$17:$Y$28,16,FALSE))*К!P30*'Титульный лист'!$I$14</f>
        <v>100</v>
      </c>
      <c r="R4" s="28">
        <f>(VLOOKUP('Титульный лист'!$I$13,К!$A$17:$Y$28,17,FALSE))*К!Q30*'Титульный лист'!$I$14</f>
        <v>90</v>
      </c>
      <c r="S4" s="28">
        <f>(VLOOKUP('Титульный лист'!$I$13,К!$A$17:$Y$28,18,FALSE))*К!R30*'Титульный лист'!$I$14</f>
        <v>80</v>
      </c>
      <c r="T4" s="28">
        <f>(VLOOKUP('Титульный лист'!$I$13,К!$A$17:$Y$28,19,FALSE))*К!S30*'Титульный лист'!$I$14</f>
        <v>90</v>
      </c>
      <c r="U4" s="28">
        <f>(VLOOKUP('Титульный лист'!$I$13,К!$A$17:$Y$28,20,FALSE))*К!T30*'Титульный лист'!$I$14</f>
        <v>90</v>
      </c>
      <c r="V4" s="28">
        <v>105</v>
      </c>
      <c r="W4" s="28">
        <v>102</v>
      </c>
      <c r="X4" s="28">
        <v>96</v>
      </c>
      <c r="Y4" s="28">
        <v>96</v>
      </c>
      <c r="Z4" s="28">
        <v>102</v>
      </c>
    </row>
    <row r="5" spans="1:26" x14ac:dyDescent="0.35">
      <c r="A5" s="140"/>
      <c r="B5" s="27" t="s">
        <v>188</v>
      </c>
      <c r="C5" s="28">
        <v>39700</v>
      </c>
      <c r="D5" s="28">
        <v>39700</v>
      </c>
      <c r="E5" s="28">
        <v>39700</v>
      </c>
      <c r="F5" s="28">
        <v>39700</v>
      </c>
      <c r="G5" s="28">
        <v>39700</v>
      </c>
      <c r="H5" s="28">
        <v>39700</v>
      </c>
      <c r="I5" s="28">
        <v>39700</v>
      </c>
      <c r="J5" s="28">
        <v>39700</v>
      </c>
      <c r="K5" s="28">
        <v>39700</v>
      </c>
      <c r="L5" s="28">
        <v>39700</v>
      </c>
      <c r="M5" s="28">
        <v>39700</v>
      </c>
      <c r="N5" s="28">
        <v>39700</v>
      </c>
      <c r="O5" s="28">
        <v>39700</v>
      </c>
      <c r="P5" s="28">
        <v>39700</v>
      </c>
      <c r="Q5" s="28">
        <v>39700</v>
      </c>
      <c r="R5" s="28">
        <v>39700</v>
      </c>
      <c r="S5" s="28">
        <v>39700</v>
      </c>
      <c r="T5" s="28">
        <v>39700</v>
      </c>
      <c r="U5" s="28">
        <v>39700</v>
      </c>
      <c r="V5" s="28">
        <v>39700</v>
      </c>
      <c r="W5" s="28">
        <v>39700</v>
      </c>
      <c r="X5" s="28">
        <v>39700</v>
      </c>
      <c r="Y5" s="28">
        <v>39700</v>
      </c>
      <c r="Z5" s="28">
        <v>39700</v>
      </c>
    </row>
    <row r="6" spans="1:26" x14ac:dyDescent="0.35">
      <c r="A6" s="140"/>
      <c r="B6" s="27" t="s">
        <v>189</v>
      </c>
      <c r="C6" s="28">
        <v>21</v>
      </c>
      <c r="D6" s="28">
        <v>41</v>
      </c>
      <c r="E6" s="28">
        <v>37</v>
      </c>
      <c r="F6" s="28">
        <v>15</v>
      </c>
      <c r="G6" s="28">
        <v>10</v>
      </c>
      <c r="H6" s="28">
        <v>10</v>
      </c>
      <c r="I6" s="28">
        <v>16</v>
      </c>
      <c r="J6" s="28">
        <v>10</v>
      </c>
      <c r="K6" s="28">
        <v>10</v>
      </c>
      <c r="L6" s="28">
        <v>16</v>
      </c>
      <c r="M6" s="28">
        <v>19</v>
      </c>
      <c r="N6" s="28">
        <v>22</v>
      </c>
      <c r="O6" s="28">
        <f>(VLOOKUP('Титульный лист'!$I$13,К!$A$17:$Y$28,16,FALSE))*К!N30*'Титульный лист'!$I$16</f>
        <v>47.599999999999994</v>
      </c>
      <c r="P6" s="28">
        <v>49</v>
      </c>
      <c r="Q6" s="28">
        <v>37</v>
      </c>
      <c r="R6" s="28">
        <v>15</v>
      </c>
      <c r="S6" s="28">
        <v>10</v>
      </c>
      <c r="T6" s="28">
        <v>10</v>
      </c>
      <c r="U6" s="28">
        <v>15</v>
      </c>
      <c r="V6" s="28">
        <v>10</v>
      </c>
      <c r="W6" s="28">
        <v>10</v>
      </c>
      <c r="X6" s="28">
        <v>16</v>
      </c>
      <c r="Y6" s="28">
        <v>19</v>
      </c>
      <c r="Z6" s="28">
        <v>28</v>
      </c>
    </row>
    <row r="7" spans="1:26" x14ac:dyDescent="0.35">
      <c r="A7" s="140"/>
      <c r="B7" s="27" t="s">
        <v>193</v>
      </c>
      <c r="C7" s="28">
        <v>50000</v>
      </c>
      <c r="D7" s="28">
        <v>50000</v>
      </c>
      <c r="E7" s="28">
        <v>50000</v>
      </c>
      <c r="F7" s="28">
        <v>50000</v>
      </c>
      <c r="G7" s="28">
        <v>35000</v>
      </c>
      <c r="H7" s="28">
        <v>35000</v>
      </c>
      <c r="I7" s="28">
        <v>35000</v>
      </c>
      <c r="J7" s="28">
        <v>35000</v>
      </c>
      <c r="K7" s="28">
        <v>35000</v>
      </c>
      <c r="L7" s="28">
        <v>35000</v>
      </c>
      <c r="M7" s="28">
        <v>50000</v>
      </c>
      <c r="N7" s="28">
        <v>50000</v>
      </c>
      <c r="O7" s="28">
        <v>50000</v>
      </c>
      <c r="P7" s="28">
        <v>50000</v>
      </c>
      <c r="Q7" s="28">
        <v>50000</v>
      </c>
      <c r="R7" s="28">
        <v>50000</v>
      </c>
      <c r="S7" s="28">
        <v>35000</v>
      </c>
      <c r="T7" s="28">
        <v>35000</v>
      </c>
      <c r="U7" s="28">
        <v>35000</v>
      </c>
      <c r="V7" s="28">
        <v>35000</v>
      </c>
      <c r="W7" s="28">
        <v>35000</v>
      </c>
      <c r="X7" s="28">
        <v>35000</v>
      </c>
      <c r="Y7" s="28">
        <v>50000</v>
      </c>
      <c r="Z7" s="28">
        <v>50000</v>
      </c>
    </row>
    <row r="8" spans="1:26" x14ac:dyDescent="0.35">
      <c r="A8" s="140"/>
      <c r="B8" s="27" t="s">
        <v>146</v>
      </c>
      <c r="C8" s="28">
        <f>(VLOOKUP('Титульный лист'!$I$13,К!$A$17:$Y$28,2,FALSE))*'Титульный лист'!$I$18*К!B30</f>
        <v>135.59</v>
      </c>
      <c r="D8" s="28">
        <v>180</v>
      </c>
      <c r="E8" s="28">
        <f>(VLOOKUP('Титульный лист'!$I$13,К!$A$17:$Y$28,4,FALSE))*К!D30*'Титульный лист'!$I$18</f>
        <v>134.1</v>
      </c>
      <c r="F8" s="28">
        <f>(VLOOKUP('Титульный лист'!$I$13,К!$A$17:$Y$28,5,FALSE))*К!E30*'Титульный лист'!$I$18</f>
        <v>134.1</v>
      </c>
      <c r="G8" s="28">
        <f>(VLOOKUP('Титульный лист'!$I$13,К!$A$17:$Y$28,6,FALSE))*К!F30*'Титульный лист'!$I$18</f>
        <v>119.2</v>
      </c>
      <c r="H8" s="28">
        <f>(VLOOKUP('Титульный лист'!$I$13,К!$A$17:$Y$28,7,FALSE))*К!G30*'Титульный лист'!$I$18</f>
        <v>134.1</v>
      </c>
      <c r="I8" s="28">
        <f>(VLOOKUP('Титульный лист'!$I$13,К!$A$17:$Y$28,8,FALSE))*К!H30*'Титульный лист'!$I$18</f>
        <v>134.1</v>
      </c>
      <c r="J8" s="28">
        <v>180</v>
      </c>
      <c r="K8" s="28">
        <v>154</v>
      </c>
      <c r="L8" s="28">
        <f>(VLOOKUP('Титульный лист'!$I$13,К!$A$17:$Y$28,11,FALSE))*К!K30*'Титульный лист'!$I$18</f>
        <v>104.3</v>
      </c>
      <c r="M8" s="28">
        <v>145</v>
      </c>
      <c r="N8" s="28">
        <v>150</v>
      </c>
      <c r="O8" s="28">
        <v>164</v>
      </c>
      <c r="P8" s="28">
        <v>180</v>
      </c>
      <c r="Q8" s="28">
        <v>194</v>
      </c>
      <c r="R8" s="28">
        <f>(VLOOKUP('Титульный лист'!$I$13,К!$A$17:$Y$28,17,FALSE))*К!Q30*'Титульный лист'!$I$18</f>
        <v>134.1</v>
      </c>
      <c r="S8" s="28">
        <f>(VLOOKUP('Титульный лист'!$I$13,К!$A$17:$Y$28,18,FALSE))*К!R30*'Титульный лист'!$I$18</f>
        <v>119.2</v>
      </c>
      <c r="T8" s="28">
        <f>(VLOOKUP('Титульный лист'!$I$13,К!$A$17:$Y$28,19,FALSE))*К!S30*'Титульный лист'!$I$18</f>
        <v>134.1</v>
      </c>
      <c r="U8" s="28">
        <f>(VLOOKUP('Титульный лист'!$I$13,К!$A$17:$Y$28,20,FALSE))*К!T30*'Титульный лист'!$I$18</f>
        <v>134.1</v>
      </c>
      <c r="V8" s="28">
        <v>180</v>
      </c>
      <c r="W8" s="28">
        <v>154</v>
      </c>
      <c r="X8" s="28">
        <v>101</v>
      </c>
      <c r="Y8" s="28">
        <v>145</v>
      </c>
      <c r="Z8" s="28">
        <v>150</v>
      </c>
    </row>
    <row r="9" spans="1:26" x14ac:dyDescent="0.35">
      <c r="A9" s="140"/>
      <c r="B9" s="27" t="s">
        <v>192</v>
      </c>
      <c r="C9" s="28">
        <v>3100</v>
      </c>
      <c r="D9" s="28">
        <v>3100</v>
      </c>
      <c r="E9" s="28">
        <v>3100</v>
      </c>
      <c r="F9" s="28">
        <v>3100</v>
      </c>
      <c r="G9" s="28">
        <v>3100</v>
      </c>
      <c r="H9" s="28">
        <v>3100</v>
      </c>
      <c r="I9" s="28">
        <v>3100</v>
      </c>
      <c r="J9" s="28">
        <v>3100</v>
      </c>
      <c r="K9" s="28">
        <v>3100</v>
      </c>
      <c r="L9" s="28">
        <v>3100</v>
      </c>
      <c r="M9" s="28">
        <v>3100</v>
      </c>
      <c r="N9" s="28">
        <v>3100</v>
      </c>
      <c r="O9" s="28">
        <v>3100</v>
      </c>
      <c r="P9" s="28">
        <v>3100</v>
      </c>
      <c r="Q9" s="28">
        <v>3100</v>
      </c>
      <c r="R9" s="28">
        <v>3100</v>
      </c>
      <c r="S9" s="28">
        <v>3100</v>
      </c>
      <c r="T9" s="28">
        <v>3100</v>
      </c>
      <c r="U9" s="28">
        <v>3100</v>
      </c>
      <c r="V9" s="28">
        <v>3100</v>
      </c>
      <c r="W9" s="28">
        <v>3100</v>
      </c>
      <c r="X9" s="28">
        <v>3100</v>
      </c>
      <c r="Y9" s="28">
        <v>3100</v>
      </c>
      <c r="Z9" s="28">
        <v>3100</v>
      </c>
    </row>
    <row r="10" spans="1:26" x14ac:dyDescent="0.35">
      <c r="A10" s="140"/>
      <c r="B10" s="27" t="s">
        <v>191</v>
      </c>
      <c r="C10" s="28">
        <v>96</v>
      </c>
      <c r="D10" s="28">
        <v>102</v>
      </c>
      <c r="E10" s="28">
        <v>106</v>
      </c>
      <c r="F10" s="28">
        <v>48</v>
      </c>
      <c r="G10" s="28">
        <v>25</v>
      </c>
      <c r="H10" s="28">
        <v>25</v>
      </c>
      <c r="I10" s="28">
        <v>25</v>
      </c>
      <c r="J10" s="28">
        <v>50</v>
      </c>
      <c r="K10" s="28">
        <v>25</v>
      </c>
      <c r="L10" s="28">
        <v>31</v>
      </c>
      <c r="M10" s="28">
        <v>96</v>
      </c>
      <c r="N10" s="28">
        <v>102</v>
      </c>
      <c r="O10" s="28">
        <v>148</v>
      </c>
      <c r="P10" s="28">
        <v>137</v>
      </c>
      <c r="Q10" s="28">
        <v>162</v>
      </c>
      <c r="R10" s="28">
        <v>64</v>
      </c>
      <c r="S10" s="28">
        <v>25</v>
      </c>
      <c r="T10" s="28">
        <v>25</v>
      </c>
      <c r="U10" s="28">
        <v>25</v>
      </c>
      <c r="V10" s="28">
        <v>50</v>
      </c>
      <c r="W10" s="28">
        <v>25</v>
      </c>
      <c r="X10" s="28">
        <v>31</v>
      </c>
      <c r="Y10" s="28">
        <v>96</v>
      </c>
      <c r="Z10" s="28">
        <v>120</v>
      </c>
    </row>
    <row r="11" spans="1:26" x14ac:dyDescent="0.35">
      <c r="A11" s="141"/>
      <c r="B11" s="27" t="s">
        <v>190</v>
      </c>
      <c r="C11" s="28">
        <v>4200</v>
      </c>
      <c r="D11" s="28">
        <v>4200</v>
      </c>
      <c r="E11" s="28">
        <v>4200</v>
      </c>
      <c r="F11" s="28">
        <v>4200</v>
      </c>
      <c r="G11" s="28">
        <v>4200</v>
      </c>
      <c r="H11" s="28">
        <v>4200</v>
      </c>
      <c r="I11" s="28">
        <v>4200</v>
      </c>
      <c r="J11" s="28">
        <v>4200</v>
      </c>
      <c r="K11" s="28">
        <v>4200</v>
      </c>
      <c r="L11" s="28">
        <v>4200</v>
      </c>
      <c r="M11" s="28">
        <v>4200</v>
      </c>
      <c r="N11" s="28">
        <v>4200</v>
      </c>
      <c r="O11" s="28">
        <v>4200</v>
      </c>
      <c r="P11" s="28">
        <v>4200</v>
      </c>
      <c r="Q11" s="28">
        <v>4200</v>
      </c>
      <c r="R11" s="28">
        <v>4200</v>
      </c>
      <c r="S11" s="28">
        <v>4200</v>
      </c>
      <c r="T11" s="28">
        <v>4200</v>
      </c>
      <c r="U11" s="28">
        <v>4200</v>
      </c>
      <c r="V11" s="28">
        <v>4200</v>
      </c>
      <c r="W11" s="28">
        <v>4200</v>
      </c>
      <c r="X11" s="28">
        <v>4200</v>
      </c>
      <c r="Y11" s="28">
        <v>4200</v>
      </c>
      <c r="Z11" s="28">
        <v>4200</v>
      </c>
    </row>
    <row r="12" spans="1:26" x14ac:dyDescent="0.35">
      <c r="A12" s="29"/>
      <c r="B12" s="30" t="s">
        <v>44</v>
      </c>
      <c r="C12" s="28">
        <f>C4*C5+C6*C7+C8*C9+C10*C11</f>
        <v>5486229</v>
      </c>
      <c r="D12" s="28">
        <f t="shared" ref="D12:Z12" si="0">D4*D5+D6*D7+D8*D9+D10*D11</f>
        <v>6371200</v>
      </c>
      <c r="E12" s="28">
        <f t="shared" si="0"/>
        <v>6283910</v>
      </c>
      <c r="F12" s="28">
        <f t="shared" si="0"/>
        <v>4940310</v>
      </c>
      <c r="G12" s="28">
        <f t="shared" si="0"/>
        <v>4000520</v>
      </c>
      <c r="H12" s="28">
        <f t="shared" si="0"/>
        <v>4443710</v>
      </c>
      <c r="I12" s="28">
        <f t="shared" si="0"/>
        <v>4653710</v>
      </c>
      <c r="J12" s="28">
        <f t="shared" si="0"/>
        <v>5286500</v>
      </c>
      <c r="K12" s="28">
        <f t="shared" si="0"/>
        <v>4981800</v>
      </c>
      <c r="L12" s="28">
        <f t="shared" si="0"/>
        <v>4824730</v>
      </c>
      <c r="M12" s="28">
        <f t="shared" si="0"/>
        <v>5613900</v>
      </c>
      <c r="N12" s="28">
        <f t="shared" si="0"/>
        <v>6042800</v>
      </c>
      <c r="O12" s="28">
        <f t="shared" si="0"/>
        <v>7678500</v>
      </c>
      <c r="P12" s="28">
        <f t="shared" si="0"/>
        <v>7394600</v>
      </c>
      <c r="Q12" s="28">
        <f t="shared" si="0"/>
        <v>7101800</v>
      </c>
      <c r="R12" s="28">
        <f t="shared" si="0"/>
        <v>5007510</v>
      </c>
      <c r="S12" s="28">
        <f t="shared" si="0"/>
        <v>4000520</v>
      </c>
      <c r="T12" s="28">
        <f t="shared" si="0"/>
        <v>4443710</v>
      </c>
      <c r="U12" s="28">
        <f t="shared" si="0"/>
        <v>4618710</v>
      </c>
      <c r="V12" s="28">
        <f t="shared" si="0"/>
        <v>5286500</v>
      </c>
      <c r="W12" s="28">
        <f t="shared" si="0"/>
        <v>4981800</v>
      </c>
      <c r="X12" s="28">
        <f t="shared" si="0"/>
        <v>4814500</v>
      </c>
      <c r="Y12" s="28">
        <f t="shared" si="0"/>
        <v>5613900</v>
      </c>
      <c r="Z12" s="28">
        <f t="shared" si="0"/>
        <v>6418400</v>
      </c>
    </row>
    <row r="14" spans="1:26" x14ac:dyDescent="0.35">
      <c r="C14" s="98"/>
      <c r="D14" s="99"/>
    </row>
    <row r="15" spans="1:26" x14ac:dyDescent="0.35">
      <c r="C15" s="98"/>
      <c r="D15" s="99"/>
    </row>
    <row r="16" spans="1:26" x14ac:dyDescent="0.35">
      <c r="B16" s="45"/>
      <c r="C16" s="98"/>
      <c r="D16" s="100"/>
      <c r="E16" s="45"/>
    </row>
    <row r="17" spans="2:24" x14ac:dyDescent="0.35">
      <c r="B17" s="45"/>
      <c r="C17" s="98"/>
      <c r="D17" s="100"/>
      <c r="E17" s="45"/>
    </row>
    <row r="18" spans="2:24" x14ac:dyDescent="0.35">
      <c r="B18" s="45"/>
      <c r="C18" s="45"/>
      <c r="D18" s="100"/>
      <c r="E18" s="45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</row>
    <row r="19" spans="2:24" x14ac:dyDescent="0.35">
      <c r="B19" s="45"/>
      <c r="C19" s="45"/>
      <c r="D19" s="45"/>
      <c r="E19" s="45"/>
    </row>
    <row r="20" spans="2:24" x14ac:dyDescent="0.35">
      <c r="B20" s="45"/>
      <c r="C20" s="45"/>
      <c r="D20" s="45"/>
      <c r="E20" s="45"/>
    </row>
    <row r="21" spans="2:24" x14ac:dyDescent="0.35">
      <c r="B21" s="45"/>
      <c r="C21" s="45"/>
      <c r="D21" s="45"/>
      <c r="E21" s="45"/>
    </row>
    <row r="22" spans="2:24" x14ac:dyDescent="0.35">
      <c r="B22" s="45"/>
      <c r="C22" s="45"/>
      <c r="D22" s="45"/>
      <c r="E22" s="45"/>
    </row>
    <row r="23" spans="2:24" x14ac:dyDescent="0.35">
      <c r="B23" s="45"/>
      <c r="C23" s="45"/>
      <c r="D23" s="45"/>
      <c r="E23" s="45"/>
    </row>
    <row r="24" spans="2:24" x14ac:dyDescent="0.35">
      <c r="B24" s="45"/>
      <c r="C24" s="45"/>
      <c r="D24" s="45"/>
      <c r="E24" s="45"/>
    </row>
    <row r="25" spans="2:24" x14ac:dyDescent="0.35">
      <c r="B25" s="45"/>
      <c r="C25" s="45"/>
      <c r="D25" s="45"/>
      <c r="E25" s="45"/>
    </row>
    <row r="26" spans="2:24" x14ac:dyDescent="0.35">
      <c r="B26" s="45"/>
      <c r="C26" s="45"/>
      <c r="D26" s="45"/>
      <c r="E26" s="45"/>
    </row>
    <row r="27" spans="2:24" x14ac:dyDescent="0.35">
      <c r="B27" s="45"/>
      <c r="C27" s="45"/>
      <c r="D27" s="45"/>
      <c r="E27" s="45"/>
    </row>
    <row r="28" spans="2:24" x14ac:dyDescent="0.35">
      <c r="B28" s="45"/>
      <c r="C28" s="45"/>
      <c r="D28" s="45"/>
      <c r="E28" s="45"/>
    </row>
    <row r="29" spans="2:24" x14ac:dyDescent="0.35">
      <c r="B29" s="45"/>
      <c r="C29" s="45"/>
      <c r="D29" s="45"/>
      <c r="E29" s="45"/>
    </row>
    <row r="30" spans="2:24" x14ac:dyDescent="0.35">
      <c r="B30" s="45"/>
      <c r="C30" s="45"/>
      <c r="D30" s="45"/>
      <c r="E30" s="45"/>
    </row>
    <row r="31" spans="2:24" x14ac:dyDescent="0.35">
      <c r="B31" s="45"/>
      <c r="C31" s="45"/>
      <c r="D31" s="45"/>
      <c r="E31" s="45"/>
    </row>
    <row r="32" spans="2:24" x14ac:dyDescent="0.35">
      <c r="B32" s="45"/>
      <c r="C32" s="45"/>
      <c r="D32" s="45"/>
      <c r="E32" s="45"/>
    </row>
    <row r="33" spans="2:5" x14ac:dyDescent="0.35">
      <c r="B33" s="45"/>
      <c r="C33" s="45"/>
      <c r="D33" s="45"/>
      <c r="E33" s="45"/>
    </row>
    <row r="34" spans="2:5" x14ac:dyDescent="0.35">
      <c r="B34" s="45"/>
      <c r="C34" s="45"/>
      <c r="D34" s="45"/>
      <c r="E34" s="45"/>
    </row>
  </sheetData>
  <sheetProtection insertColumns="0" insertRows="0" deleteColumns="0" deleteRows="0"/>
  <mergeCells count="4">
    <mergeCell ref="C1:Z1"/>
    <mergeCell ref="B1:B3"/>
    <mergeCell ref="A1:A3"/>
    <mergeCell ref="A4:A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C49"/>
  <sheetViews>
    <sheetView showGridLines="0" workbookViewId="0">
      <selection activeCell="J34" sqref="J34"/>
    </sheetView>
  </sheetViews>
  <sheetFormatPr defaultColWidth="9.109375" defaultRowHeight="14.4" x14ac:dyDescent="0.3"/>
  <cols>
    <col min="1" max="12" width="9.109375" style="83"/>
    <col min="13" max="27" width="9.109375" style="83" customWidth="1"/>
    <col min="28" max="28" width="16.88671875" style="83" customWidth="1"/>
    <col min="29" max="29" width="17.109375" style="83" customWidth="1"/>
    <col min="30" max="30" width="9.109375" style="78" customWidth="1"/>
    <col min="31" max="16384" width="9.109375" style="78"/>
  </cols>
  <sheetData>
    <row r="1" spans="1:29" ht="20.25" customHeight="1" x14ac:dyDescent="0.35">
      <c r="A1" s="143" t="s">
        <v>73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76"/>
      <c r="T1" s="76"/>
      <c r="U1" s="76"/>
      <c r="V1" s="76"/>
      <c r="W1" s="76"/>
      <c r="X1" s="76"/>
      <c r="Y1" s="76"/>
      <c r="Z1" s="76"/>
      <c r="AA1" s="77"/>
      <c r="AB1" s="142" t="s">
        <v>86</v>
      </c>
      <c r="AC1" s="142"/>
    </row>
    <row r="2" spans="1:29" ht="18.75" customHeight="1" x14ac:dyDescent="0.35">
      <c r="A2" s="76"/>
      <c r="B2" s="76">
        <v>1</v>
      </c>
      <c r="C2" s="76">
        <v>2</v>
      </c>
      <c r="D2" s="76">
        <v>3</v>
      </c>
      <c r="E2" s="76">
        <v>4</v>
      </c>
      <c r="F2" s="76">
        <v>5</v>
      </c>
      <c r="G2" s="76">
        <v>6</v>
      </c>
      <c r="H2" s="76">
        <v>7</v>
      </c>
      <c r="I2" s="76">
        <v>8</v>
      </c>
      <c r="J2" s="76">
        <v>9</v>
      </c>
      <c r="K2" s="76">
        <v>10</v>
      </c>
      <c r="L2" s="76">
        <v>11</v>
      </c>
      <c r="M2" s="76">
        <v>12</v>
      </c>
      <c r="N2" s="76">
        <v>13</v>
      </c>
      <c r="O2" s="76">
        <v>14</v>
      </c>
      <c r="P2" s="76">
        <v>15</v>
      </c>
      <c r="Q2" s="76">
        <v>16</v>
      </c>
      <c r="R2" s="76">
        <v>17</v>
      </c>
      <c r="S2" s="76">
        <v>18</v>
      </c>
      <c r="T2" s="76">
        <v>19</v>
      </c>
      <c r="U2" s="76">
        <v>20</v>
      </c>
      <c r="V2" s="76">
        <v>21</v>
      </c>
      <c r="W2" s="76">
        <v>22</v>
      </c>
      <c r="X2" s="76">
        <v>23</v>
      </c>
      <c r="Y2" s="76">
        <v>24</v>
      </c>
      <c r="Z2" s="76">
        <v>25</v>
      </c>
      <c r="AA2" s="77"/>
      <c r="AB2" s="142"/>
      <c r="AC2" s="142"/>
    </row>
    <row r="3" spans="1:29" x14ac:dyDescent="0.3">
      <c r="A3" s="79">
        <v>1</v>
      </c>
      <c r="B3" s="80" t="s">
        <v>74</v>
      </c>
      <c r="C3" s="80" t="s">
        <v>75</v>
      </c>
      <c r="D3" s="80" t="s">
        <v>76</v>
      </c>
      <c r="E3" s="80" t="s">
        <v>77</v>
      </c>
      <c r="F3" s="80" t="s">
        <v>78</v>
      </c>
      <c r="G3" s="80" t="s">
        <v>79</v>
      </c>
      <c r="H3" s="80" t="s">
        <v>80</v>
      </c>
      <c r="I3" s="80" t="s">
        <v>81</v>
      </c>
      <c r="J3" s="80" t="s">
        <v>82</v>
      </c>
      <c r="K3" s="80" t="s">
        <v>83</v>
      </c>
      <c r="L3" s="80" t="s">
        <v>84</v>
      </c>
      <c r="M3" s="80" t="s">
        <v>85</v>
      </c>
      <c r="N3" s="80" t="s">
        <v>87</v>
      </c>
      <c r="O3" s="80" t="s">
        <v>75</v>
      </c>
      <c r="P3" s="80" t="s">
        <v>76</v>
      </c>
      <c r="Q3" s="80" t="s">
        <v>77</v>
      </c>
      <c r="R3" s="80" t="s">
        <v>78</v>
      </c>
      <c r="S3" s="80" t="s">
        <v>79</v>
      </c>
      <c r="T3" s="80" t="s">
        <v>80</v>
      </c>
      <c r="U3" s="80" t="s">
        <v>81</v>
      </c>
      <c r="V3" s="80" t="s">
        <v>82</v>
      </c>
      <c r="W3" s="80" t="s">
        <v>83</v>
      </c>
      <c r="X3" s="80" t="s">
        <v>84</v>
      </c>
      <c r="Y3" s="80" t="s">
        <v>85</v>
      </c>
      <c r="Z3" s="80">
        <v>0.9</v>
      </c>
      <c r="AA3" s="77"/>
      <c r="AB3" s="79">
        <v>1</v>
      </c>
      <c r="AC3" s="80">
        <v>0.4</v>
      </c>
    </row>
    <row r="4" spans="1:29" x14ac:dyDescent="0.3">
      <c r="A4" s="79">
        <v>2</v>
      </c>
      <c r="B4" s="80" t="s">
        <v>75</v>
      </c>
      <c r="C4" s="80" t="s">
        <v>76</v>
      </c>
      <c r="D4" s="80" t="s">
        <v>77</v>
      </c>
      <c r="E4" s="80" t="s">
        <v>78</v>
      </c>
      <c r="F4" s="80" t="s">
        <v>79</v>
      </c>
      <c r="G4" s="80" t="s">
        <v>80</v>
      </c>
      <c r="H4" s="80" t="s">
        <v>81</v>
      </c>
      <c r="I4" s="80" t="s">
        <v>82</v>
      </c>
      <c r="J4" s="80" t="s">
        <v>83</v>
      </c>
      <c r="K4" s="80" t="s">
        <v>84</v>
      </c>
      <c r="L4" s="80" t="s">
        <v>85</v>
      </c>
      <c r="M4" s="80" t="s">
        <v>87</v>
      </c>
      <c r="N4" s="80" t="s">
        <v>75</v>
      </c>
      <c r="O4" s="80" t="s">
        <v>76</v>
      </c>
      <c r="P4" s="80" t="s">
        <v>77</v>
      </c>
      <c r="Q4" s="80" t="s">
        <v>78</v>
      </c>
      <c r="R4" s="80" t="s">
        <v>79</v>
      </c>
      <c r="S4" s="80" t="s">
        <v>80</v>
      </c>
      <c r="T4" s="80" t="s">
        <v>81</v>
      </c>
      <c r="U4" s="80" t="s">
        <v>82</v>
      </c>
      <c r="V4" s="80" t="s">
        <v>83</v>
      </c>
      <c r="W4" s="80" t="s">
        <v>84</v>
      </c>
      <c r="X4" s="80" t="s">
        <v>85</v>
      </c>
      <c r="Y4" s="80" t="s">
        <v>87</v>
      </c>
      <c r="Z4" s="80">
        <v>0.8</v>
      </c>
      <c r="AA4" s="77"/>
      <c r="AB4" s="79">
        <v>2</v>
      </c>
      <c r="AC4" s="80">
        <v>0.5</v>
      </c>
    </row>
    <row r="5" spans="1:29" x14ac:dyDescent="0.3">
      <c r="A5" s="79">
        <v>3</v>
      </c>
      <c r="B5" s="80" t="s">
        <v>76</v>
      </c>
      <c r="C5" s="80" t="s">
        <v>77</v>
      </c>
      <c r="D5" s="80" t="s">
        <v>78</v>
      </c>
      <c r="E5" s="80" t="s">
        <v>79</v>
      </c>
      <c r="F5" s="80" t="s">
        <v>80</v>
      </c>
      <c r="G5" s="80" t="s">
        <v>81</v>
      </c>
      <c r="H5" s="80" t="s">
        <v>82</v>
      </c>
      <c r="I5" s="80" t="s">
        <v>83</v>
      </c>
      <c r="J5" s="80" t="s">
        <v>84</v>
      </c>
      <c r="K5" s="80" t="s">
        <v>85</v>
      </c>
      <c r="L5" s="80" t="s">
        <v>87</v>
      </c>
      <c r="M5" s="80" t="s">
        <v>75</v>
      </c>
      <c r="N5" s="80" t="s">
        <v>76</v>
      </c>
      <c r="O5" s="80" t="s">
        <v>77</v>
      </c>
      <c r="P5" s="80" t="s">
        <v>78</v>
      </c>
      <c r="Q5" s="80" t="s">
        <v>79</v>
      </c>
      <c r="R5" s="80" t="s">
        <v>80</v>
      </c>
      <c r="S5" s="80" t="s">
        <v>81</v>
      </c>
      <c r="T5" s="80" t="s">
        <v>82</v>
      </c>
      <c r="U5" s="80" t="s">
        <v>83</v>
      </c>
      <c r="V5" s="80" t="s">
        <v>84</v>
      </c>
      <c r="W5" s="80" t="s">
        <v>85</v>
      </c>
      <c r="X5" s="80" t="s">
        <v>87</v>
      </c>
      <c r="Y5" s="80" t="s">
        <v>75</v>
      </c>
      <c r="Z5" s="80">
        <v>0.8</v>
      </c>
      <c r="AA5" s="77"/>
      <c r="AB5" s="79">
        <v>3</v>
      </c>
      <c r="AC5" s="80">
        <v>0.6</v>
      </c>
    </row>
    <row r="6" spans="1:29" x14ac:dyDescent="0.3">
      <c r="A6" s="79">
        <v>4</v>
      </c>
      <c r="B6" s="80" t="s">
        <v>77</v>
      </c>
      <c r="C6" s="80" t="s">
        <v>78</v>
      </c>
      <c r="D6" s="80" t="s">
        <v>79</v>
      </c>
      <c r="E6" s="80" t="s">
        <v>80</v>
      </c>
      <c r="F6" s="80" t="s">
        <v>81</v>
      </c>
      <c r="G6" s="80" t="s">
        <v>82</v>
      </c>
      <c r="H6" s="80" t="s">
        <v>83</v>
      </c>
      <c r="I6" s="80" t="s">
        <v>84</v>
      </c>
      <c r="J6" s="80" t="s">
        <v>85</v>
      </c>
      <c r="K6" s="80" t="s">
        <v>87</v>
      </c>
      <c r="L6" s="80" t="s">
        <v>75</v>
      </c>
      <c r="M6" s="80" t="s">
        <v>76</v>
      </c>
      <c r="N6" s="80" t="s">
        <v>77</v>
      </c>
      <c r="O6" s="80" t="s">
        <v>78</v>
      </c>
      <c r="P6" s="80" t="s">
        <v>79</v>
      </c>
      <c r="Q6" s="80" t="s">
        <v>80</v>
      </c>
      <c r="R6" s="80" t="s">
        <v>81</v>
      </c>
      <c r="S6" s="80" t="s">
        <v>82</v>
      </c>
      <c r="T6" s="80" t="s">
        <v>83</v>
      </c>
      <c r="U6" s="80" t="s">
        <v>84</v>
      </c>
      <c r="V6" s="80" t="s">
        <v>85</v>
      </c>
      <c r="W6" s="80" t="s">
        <v>87</v>
      </c>
      <c r="X6" s="80" t="s">
        <v>75</v>
      </c>
      <c r="Y6" s="80" t="s">
        <v>76</v>
      </c>
      <c r="Z6" s="80">
        <v>1</v>
      </c>
      <c r="AA6" s="77"/>
      <c r="AB6" s="79">
        <v>4</v>
      </c>
      <c r="AC6" s="80">
        <v>0.7</v>
      </c>
    </row>
    <row r="7" spans="1:29" x14ac:dyDescent="0.3">
      <c r="A7" s="79">
        <v>5</v>
      </c>
      <c r="B7" s="80" t="s">
        <v>78</v>
      </c>
      <c r="C7" s="80" t="s">
        <v>79</v>
      </c>
      <c r="D7" s="80" t="s">
        <v>80</v>
      </c>
      <c r="E7" s="80" t="s">
        <v>81</v>
      </c>
      <c r="F7" s="80" t="s">
        <v>82</v>
      </c>
      <c r="G7" s="80" t="s">
        <v>83</v>
      </c>
      <c r="H7" s="80" t="s">
        <v>84</v>
      </c>
      <c r="I7" s="80" t="s">
        <v>85</v>
      </c>
      <c r="J7" s="80" t="s">
        <v>87</v>
      </c>
      <c r="K7" s="80" t="s">
        <v>75</v>
      </c>
      <c r="L7" s="80" t="s">
        <v>76</v>
      </c>
      <c r="M7" s="80" t="s">
        <v>77</v>
      </c>
      <c r="N7" s="80" t="s">
        <v>78</v>
      </c>
      <c r="O7" s="80" t="s">
        <v>79</v>
      </c>
      <c r="P7" s="80" t="s">
        <v>80</v>
      </c>
      <c r="Q7" s="80" t="s">
        <v>81</v>
      </c>
      <c r="R7" s="80" t="s">
        <v>82</v>
      </c>
      <c r="S7" s="80" t="s">
        <v>83</v>
      </c>
      <c r="T7" s="80" t="s">
        <v>84</v>
      </c>
      <c r="U7" s="80" t="s">
        <v>85</v>
      </c>
      <c r="V7" s="80" t="s">
        <v>87</v>
      </c>
      <c r="W7" s="80" t="s">
        <v>75</v>
      </c>
      <c r="X7" s="80" t="s">
        <v>76</v>
      </c>
      <c r="Y7" s="80" t="s">
        <v>77</v>
      </c>
      <c r="Z7" s="80">
        <v>1.1000000000000001</v>
      </c>
      <c r="AA7" s="77"/>
      <c r="AB7" s="79">
        <v>5</v>
      </c>
      <c r="AC7" s="80">
        <v>0.8</v>
      </c>
    </row>
    <row r="8" spans="1:29" x14ac:dyDescent="0.3">
      <c r="A8" s="79">
        <v>6</v>
      </c>
      <c r="B8" s="80" t="s">
        <v>79</v>
      </c>
      <c r="C8" s="80" t="s">
        <v>80</v>
      </c>
      <c r="D8" s="80" t="s">
        <v>81</v>
      </c>
      <c r="E8" s="80" t="s">
        <v>82</v>
      </c>
      <c r="F8" s="80" t="s">
        <v>83</v>
      </c>
      <c r="G8" s="80" t="s">
        <v>84</v>
      </c>
      <c r="H8" s="80" t="s">
        <v>85</v>
      </c>
      <c r="I8" s="80" t="s">
        <v>87</v>
      </c>
      <c r="J8" s="80" t="s">
        <v>75</v>
      </c>
      <c r="K8" s="80" t="s">
        <v>76</v>
      </c>
      <c r="L8" s="80" t="s">
        <v>77</v>
      </c>
      <c r="M8" s="80" t="s">
        <v>78</v>
      </c>
      <c r="N8" s="80" t="s">
        <v>79</v>
      </c>
      <c r="O8" s="80" t="s">
        <v>80</v>
      </c>
      <c r="P8" s="80" t="s">
        <v>81</v>
      </c>
      <c r="Q8" s="80" t="s">
        <v>82</v>
      </c>
      <c r="R8" s="80" t="s">
        <v>83</v>
      </c>
      <c r="S8" s="80" t="s">
        <v>84</v>
      </c>
      <c r="T8" s="80" t="s">
        <v>85</v>
      </c>
      <c r="U8" s="80" t="s">
        <v>87</v>
      </c>
      <c r="V8" s="80" t="s">
        <v>75</v>
      </c>
      <c r="W8" s="80" t="s">
        <v>76</v>
      </c>
      <c r="X8" s="80" t="s">
        <v>77</v>
      </c>
      <c r="Y8" s="80" t="s">
        <v>78</v>
      </c>
      <c r="Z8" s="80">
        <v>1.3</v>
      </c>
      <c r="AA8" s="77"/>
      <c r="AB8" s="79">
        <v>6</v>
      </c>
      <c r="AC8" s="80">
        <v>0.9</v>
      </c>
    </row>
    <row r="9" spans="1:29" x14ac:dyDescent="0.3">
      <c r="A9" s="79">
        <v>7</v>
      </c>
      <c r="B9" s="80" t="s">
        <v>80</v>
      </c>
      <c r="C9" s="80" t="s">
        <v>81</v>
      </c>
      <c r="D9" s="80" t="s">
        <v>82</v>
      </c>
      <c r="E9" s="80" t="s">
        <v>83</v>
      </c>
      <c r="F9" s="80" t="s">
        <v>84</v>
      </c>
      <c r="G9" s="80" t="s">
        <v>85</v>
      </c>
      <c r="H9" s="80" t="s">
        <v>87</v>
      </c>
      <c r="I9" s="80" t="s">
        <v>75</v>
      </c>
      <c r="J9" s="80" t="s">
        <v>76</v>
      </c>
      <c r="K9" s="80" t="s">
        <v>77</v>
      </c>
      <c r="L9" s="80" t="s">
        <v>78</v>
      </c>
      <c r="M9" s="80" t="s">
        <v>79</v>
      </c>
      <c r="N9" s="80" t="s">
        <v>80</v>
      </c>
      <c r="O9" s="80" t="s">
        <v>81</v>
      </c>
      <c r="P9" s="80" t="s">
        <v>82</v>
      </c>
      <c r="Q9" s="80" t="s">
        <v>83</v>
      </c>
      <c r="R9" s="80" t="s">
        <v>84</v>
      </c>
      <c r="S9" s="80" t="s">
        <v>85</v>
      </c>
      <c r="T9" s="80" t="s">
        <v>87</v>
      </c>
      <c r="U9" s="80" t="s">
        <v>75</v>
      </c>
      <c r="V9" s="80" t="s">
        <v>76</v>
      </c>
      <c r="W9" s="80" t="s">
        <v>77</v>
      </c>
      <c r="X9" s="80" t="s">
        <v>78</v>
      </c>
      <c r="Y9" s="80" t="s">
        <v>79</v>
      </c>
      <c r="Z9" s="80">
        <v>1.3</v>
      </c>
      <c r="AA9" s="77"/>
      <c r="AB9" s="79">
        <v>7</v>
      </c>
      <c r="AC9" s="80">
        <v>1</v>
      </c>
    </row>
    <row r="10" spans="1:29" x14ac:dyDescent="0.3">
      <c r="A10" s="79">
        <v>8</v>
      </c>
      <c r="B10" s="80" t="s">
        <v>81</v>
      </c>
      <c r="C10" s="80" t="s">
        <v>82</v>
      </c>
      <c r="D10" s="80" t="s">
        <v>83</v>
      </c>
      <c r="E10" s="80" t="s">
        <v>84</v>
      </c>
      <c r="F10" s="80" t="s">
        <v>85</v>
      </c>
      <c r="G10" s="80" t="s">
        <v>87</v>
      </c>
      <c r="H10" s="80" t="s">
        <v>75</v>
      </c>
      <c r="I10" s="80" t="s">
        <v>76</v>
      </c>
      <c r="J10" s="80" t="s">
        <v>77</v>
      </c>
      <c r="K10" s="80" t="s">
        <v>78</v>
      </c>
      <c r="L10" s="80" t="s">
        <v>79</v>
      </c>
      <c r="M10" s="80" t="s">
        <v>80</v>
      </c>
      <c r="N10" s="80" t="s">
        <v>81</v>
      </c>
      <c r="O10" s="80" t="s">
        <v>82</v>
      </c>
      <c r="P10" s="80" t="s">
        <v>83</v>
      </c>
      <c r="Q10" s="80" t="s">
        <v>84</v>
      </c>
      <c r="R10" s="80" t="s">
        <v>85</v>
      </c>
      <c r="S10" s="80" t="s">
        <v>87</v>
      </c>
      <c r="T10" s="80" t="s">
        <v>75</v>
      </c>
      <c r="U10" s="80" t="s">
        <v>76</v>
      </c>
      <c r="V10" s="80" t="s">
        <v>77</v>
      </c>
      <c r="W10" s="80" t="s">
        <v>78</v>
      </c>
      <c r="X10" s="80" t="s">
        <v>79</v>
      </c>
      <c r="Y10" s="80" t="s">
        <v>80</v>
      </c>
      <c r="Z10" s="80">
        <v>1.2</v>
      </c>
      <c r="AA10" s="77"/>
      <c r="AB10" s="79">
        <v>8</v>
      </c>
      <c r="AC10" s="80">
        <v>1</v>
      </c>
    </row>
    <row r="11" spans="1:29" x14ac:dyDescent="0.3">
      <c r="A11" s="79">
        <v>9</v>
      </c>
      <c r="B11" s="80" t="s">
        <v>82</v>
      </c>
      <c r="C11" s="80" t="s">
        <v>83</v>
      </c>
      <c r="D11" s="80" t="s">
        <v>84</v>
      </c>
      <c r="E11" s="80" t="s">
        <v>85</v>
      </c>
      <c r="F11" s="80" t="s">
        <v>87</v>
      </c>
      <c r="G11" s="80" t="s">
        <v>75</v>
      </c>
      <c r="H11" s="80" t="s">
        <v>76</v>
      </c>
      <c r="I11" s="80" t="s">
        <v>77</v>
      </c>
      <c r="J11" s="80" t="s">
        <v>78</v>
      </c>
      <c r="K11" s="80" t="s">
        <v>79</v>
      </c>
      <c r="L11" s="80" t="s">
        <v>80</v>
      </c>
      <c r="M11" s="80" t="s">
        <v>81</v>
      </c>
      <c r="N11" s="80" t="s">
        <v>82</v>
      </c>
      <c r="O11" s="80" t="s">
        <v>83</v>
      </c>
      <c r="P11" s="80" t="s">
        <v>84</v>
      </c>
      <c r="Q11" s="80" t="s">
        <v>85</v>
      </c>
      <c r="R11" s="80" t="s">
        <v>87</v>
      </c>
      <c r="S11" s="80" t="s">
        <v>75</v>
      </c>
      <c r="T11" s="80" t="s">
        <v>76</v>
      </c>
      <c r="U11" s="80" t="s">
        <v>77</v>
      </c>
      <c r="V11" s="80" t="s">
        <v>78</v>
      </c>
      <c r="W11" s="80" t="s">
        <v>79</v>
      </c>
      <c r="X11" s="80" t="s">
        <v>80</v>
      </c>
      <c r="Y11" s="80" t="s">
        <v>81</v>
      </c>
      <c r="Z11" s="80">
        <v>1</v>
      </c>
      <c r="AA11" s="77"/>
      <c r="AB11" s="79">
        <v>9</v>
      </c>
      <c r="AC11" s="80">
        <v>1</v>
      </c>
    </row>
    <row r="12" spans="1:29" x14ac:dyDescent="0.3">
      <c r="A12" s="79">
        <v>10</v>
      </c>
      <c r="B12" s="80" t="s">
        <v>83</v>
      </c>
      <c r="C12" s="80" t="s">
        <v>84</v>
      </c>
      <c r="D12" s="80" t="s">
        <v>85</v>
      </c>
      <c r="E12" s="80" t="s">
        <v>87</v>
      </c>
      <c r="F12" s="80" t="s">
        <v>75</v>
      </c>
      <c r="G12" s="80" t="s">
        <v>76</v>
      </c>
      <c r="H12" s="80" t="s">
        <v>77</v>
      </c>
      <c r="I12" s="80" t="s">
        <v>78</v>
      </c>
      <c r="J12" s="80" t="s">
        <v>79</v>
      </c>
      <c r="K12" s="80" t="s">
        <v>80</v>
      </c>
      <c r="L12" s="80" t="s">
        <v>81</v>
      </c>
      <c r="M12" s="80" t="s">
        <v>82</v>
      </c>
      <c r="N12" s="80" t="s">
        <v>83</v>
      </c>
      <c r="O12" s="80" t="s">
        <v>84</v>
      </c>
      <c r="P12" s="80" t="s">
        <v>85</v>
      </c>
      <c r="Q12" s="80" t="s">
        <v>87</v>
      </c>
      <c r="R12" s="80" t="s">
        <v>75</v>
      </c>
      <c r="S12" s="80" t="s">
        <v>76</v>
      </c>
      <c r="T12" s="80" t="s">
        <v>77</v>
      </c>
      <c r="U12" s="80" t="s">
        <v>78</v>
      </c>
      <c r="V12" s="80" t="s">
        <v>79</v>
      </c>
      <c r="W12" s="80" t="s">
        <v>80</v>
      </c>
      <c r="X12" s="80" t="s">
        <v>81</v>
      </c>
      <c r="Y12" s="80" t="s">
        <v>82</v>
      </c>
      <c r="Z12" s="80">
        <v>0.9</v>
      </c>
      <c r="AA12" s="77"/>
      <c r="AB12" s="79">
        <v>10</v>
      </c>
      <c r="AC12" s="80">
        <v>1</v>
      </c>
    </row>
    <row r="13" spans="1:29" x14ac:dyDescent="0.3">
      <c r="A13" s="79">
        <v>11</v>
      </c>
      <c r="B13" s="80" t="s">
        <v>84</v>
      </c>
      <c r="C13" s="80" t="s">
        <v>85</v>
      </c>
      <c r="D13" s="80" t="s">
        <v>87</v>
      </c>
      <c r="E13" s="80" t="s">
        <v>75</v>
      </c>
      <c r="F13" s="80" t="s">
        <v>76</v>
      </c>
      <c r="G13" s="80" t="s">
        <v>77</v>
      </c>
      <c r="H13" s="80" t="s">
        <v>78</v>
      </c>
      <c r="I13" s="80" t="s">
        <v>79</v>
      </c>
      <c r="J13" s="80" t="s">
        <v>80</v>
      </c>
      <c r="K13" s="80" t="s">
        <v>81</v>
      </c>
      <c r="L13" s="80" t="s">
        <v>82</v>
      </c>
      <c r="M13" s="80" t="s">
        <v>83</v>
      </c>
      <c r="N13" s="80" t="s">
        <v>84</v>
      </c>
      <c r="O13" s="80" t="s">
        <v>85</v>
      </c>
      <c r="P13" s="80" t="s">
        <v>87</v>
      </c>
      <c r="Q13" s="80" t="s">
        <v>75</v>
      </c>
      <c r="R13" s="80" t="s">
        <v>76</v>
      </c>
      <c r="S13" s="80" t="s">
        <v>77</v>
      </c>
      <c r="T13" s="80" t="s">
        <v>78</v>
      </c>
      <c r="U13" s="80" t="s">
        <v>79</v>
      </c>
      <c r="V13" s="80" t="s">
        <v>80</v>
      </c>
      <c r="W13" s="80" t="s">
        <v>81</v>
      </c>
      <c r="X13" s="80" t="s">
        <v>82</v>
      </c>
      <c r="Y13" s="80" t="s">
        <v>83</v>
      </c>
      <c r="Z13" s="80">
        <v>0.8</v>
      </c>
      <c r="AA13" s="77"/>
      <c r="AB13" s="79">
        <v>11</v>
      </c>
      <c r="AC13" s="80">
        <v>1</v>
      </c>
    </row>
    <row r="14" spans="1:29" x14ac:dyDescent="0.3">
      <c r="A14" s="79">
        <v>12</v>
      </c>
      <c r="B14" s="80" t="s">
        <v>85</v>
      </c>
      <c r="C14" s="80" t="s">
        <v>87</v>
      </c>
      <c r="D14" s="80" t="s">
        <v>75</v>
      </c>
      <c r="E14" s="80" t="s">
        <v>76</v>
      </c>
      <c r="F14" s="80" t="s">
        <v>77</v>
      </c>
      <c r="G14" s="80" t="s">
        <v>78</v>
      </c>
      <c r="H14" s="80" t="s">
        <v>79</v>
      </c>
      <c r="I14" s="80" t="s">
        <v>80</v>
      </c>
      <c r="J14" s="80" t="s">
        <v>81</v>
      </c>
      <c r="K14" s="80" t="s">
        <v>82</v>
      </c>
      <c r="L14" s="80" t="s">
        <v>83</v>
      </c>
      <c r="M14" s="80" t="s">
        <v>84</v>
      </c>
      <c r="N14" s="80" t="s">
        <v>85</v>
      </c>
      <c r="O14" s="80" t="s">
        <v>87</v>
      </c>
      <c r="P14" s="80" t="s">
        <v>75</v>
      </c>
      <c r="Q14" s="80" t="s">
        <v>76</v>
      </c>
      <c r="R14" s="80" t="s">
        <v>77</v>
      </c>
      <c r="S14" s="80" t="s">
        <v>78</v>
      </c>
      <c r="T14" s="80" t="s">
        <v>79</v>
      </c>
      <c r="U14" s="80" t="s">
        <v>80</v>
      </c>
      <c r="V14" s="80" t="s">
        <v>81</v>
      </c>
      <c r="W14" s="80" t="s">
        <v>82</v>
      </c>
      <c r="X14" s="80" t="s">
        <v>83</v>
      </c>
      <c r="Y14" s="80" t="s">
        <v>84</v>
      </c>
      <c r="Z14" s="80">
        <v>0.9</v>
      </c>
      <c r="AA14" s="77"/>
      <c r="AB14" s="79">
        <v>12</v>
      </c>
      <c r="AC14" s="80">
        <v>1</v>
      </c>
    </row>
    <row r="15" spans="1:29" x14ac:dyDescent="0.3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</row>
    <row r="16" spans="1:29" x14ac:dyDescent="0.3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</row>
    <row r="17" spans="1:29" x14ac:dyDescent="0.3">
      <c r="A17" s="79">
        <v>1</v>
      </c>
      <c r="B17" s="80">
        <v>0.9</v>
      </c>
      <c r="C17" s="80">
        <v>0.8</v>
      </c>
      <c r="D17" s="80">
        <v>0.8</v>
      </c>
      <c r="E17" s="80">
        <v>1</v>
      </c>
      <c r="F17" s="80">
        <v>1.1000000000000001</v>
      </c>
      <c r="G17" s="80">
        <v>1.3</v>
      </c>
      <c r="H17" s="80">
        <v>1.3</v>
      </c>
      <c r="I17" s="80">
        <v>1.2</v>
      </c>
      <c r="J17" s="80">
        <v>1</v>
      </c>
      <c r="K17" s="80">
        <v>0.9</v>
      </c>
      <c r="L17" s="80">
        <v>0.8</v>
      </c>
      <c r="M17" s="80">
        <v>0.9</v>
      </c>
      <c r="N17" s="80">
        <v>0.9</v>
      </c>
      <c r="O17" s="80">
        <v>0.8</v>
      </c>
      <c r="P17" s="80">
        <v>0.8</v>
      </c>
      <c r="Q17" s="80">
        <v>1</v>
      </c>
      <c r="R17" s="80">
        <v>1.1000000000000001</v>
      </c>
      <c r="S17" s="80">
        <v>1.3</v>
      </c>
      <c r="T17" s="80">
        <v>1.3</v>
      </c>
      <c r="U17" s="80">
        <v>1.2</v>
      </c>
      <c r="V17" s="80">
        <v>1</v>
      </c>
      <c r="W17" s="80">
        <v>0.9</v>
      </c>
      <c r="X17" s="80">
        <v>0.8</v>
      </c>
      <c r="Y17" s="80">
        <v>0.9</v>
      </c>
      <c r="Z17" s="77"/>
      <c r="AA17" s="77"/>
      <c r="AB17" s="77"/>
      <c r="AC17" s="77"/>
    </row>
    <row r="18" spans="1:29" x14ac:dyDescent="0.3">
      <c r="A18" s="79">
        <v>2</v>
      </c>
      <c r="B18" s="80">
        <f>C17</f>
        <v>0.8</v>
      </c>
      <c r="C18" s="80">
        <f t="shared" ref="C18:X18" si="0">D17</f>
        <v>0.8</v>
      </c>
      <c r="D18" s="80">
        <f t="shared" si="0"/>
        <v>1</v>
      </c>
      <c r="E18" s="80">
        <f t="shared" si="0"/>
        <v>1.1000000000000001</v>
      </c>
      <c r="F18" s="80">
        <f t="shared" si="0"/>
        <v>1.3</v>
      </c>
      <c r="G18" s="80">
        <f t="shared" si="0"/>
        <v>1.3</v>
      </c>
      <c r="H18" s="80">
        <f t="shared" si="0"/>
        <v>1.2</v>
      </c>
      <c r="I18" s="80">
        <f t="shared" si="0"/>
        <v>1</v>
      </c>
      <c r="J18" s="80">
        <f t="shared" si="0"/>
        <v>0.9</v>
      </c>
      <c r="K18" s="80">
        <f t="shared" si="0"/>
        <v>0.8</v>
      </c>
      <c r="L18" s="80">
        <f t="shared" si="0"/>
        <v>0.9</v>
      </c>
      <c r="M18" s="80">
        <f t="shared" si="0"/>
        <v>0.9</v>
      </c>
      <c r="N18" s="80">
        <f t="shared" si="0"/>
        <v>0.8</v>
      </c>
      <c r="O18" s="80">
        <f t="shared" si="0"/>
        <v>0.8</v>
      </c>
      <c r="P18" s="80">
        <f t="shared" si="0"/>
        <v>1</v>
      </c>
      <c r="Q18" s="80">
        <f t="shared" si="0"/>
        <v>1.1000000000000001</v>
      </c>
      <c r="R18" s="80">
        <f t="shared" si="0"/>
        <v>1.3</v>
      </c>
      <c r="S18" s="80">
        <f t="shared" si="0"/>
        <v>1.3</v>
      </c>
      <c r="T18" s="80">
        <f t="shared" si="0"/>
        <v>1.2</v>
      </c>
      <c r="U18" s="80">
        <f t="shared" si="0"/>
        <v>1</v>
      </c>
      <c r="V18" s="80">
        <f t="shared" si="0"/>
        <v>0.9</v>
      </c>
      <c r="W18" s="80">
        <f t="shared" si="0"/>
        <v>0.8</v>
      </c>
      <c r="X18" s="80">
        <f t="shared" si="0"/>
        <v>0.9</v>
      </c>
      <c r="Y18" s="80">
        <v>0.9</v>
      </c>
      <c r="Z18" s="77"/>
      <c r="AA18" s="77"/>
      <c r="AB18" s="77"/>
      <c r="AC18" s="77"/>
    </row>
    <row r="19" spans="1:29" x14ac:dyDescent="0.3">
      <c r="A19" s="79">
        <v>3</v>
      </c>
      <c r="B19" s="80">
        <f>D17</f>
        <v>0.8</v>
      </c>
      <c r="C19" s="80">
        <f t="shared" ref="C19:W19" si="1">E17</f>
        <v>1</v>
      </c>
      <c r="D19" s="80">
        <f t="shared" si="1"/>
        <v>1.1000000000000001</v>
      </c>
      <c r="E19" s="80">
        <f t="shared" si="1"/>
        <v>1.3</v>
      </c>
      <c r="F19" s="80">
        <f t="shared" si="1"/>
        <v>1.3</v>
      </c>
      <c r="G19" s="80">
        <f t="shared" si="1"/>
        <v>1.2</v>
      </c>
      <c r="H19" s="80">
        <f t="shared" si="1"/>
        <v>1</v>
      </c>
      <c r="I19" s="80">
        <f t="shared" si="1"/>
        <v>0.9</v>
      </c>
      <c r="J19" s="80">
        <f t="shared" si="1"/>
        <v>0.8</v>
      </c>
      <c r="K19" s="80">
        <f t="shared" si="1"/>
        <v>0.9</v>
      </c>
      <c r="L19" s="80">
        <f t="shared" si="1"/>
        <v>0.9</v>
      </c>
      <c r="M19" s="80">
        <f t="shared" si="1"/>
        <v>0.8</v>
      </c>
      <c r="N19" s="80">
        <f t="shared" si="1"/>
        <v>0.8</v>
      </c>
      <c r="O19" s="80">
        <f t="shared" si="1"/>
        <v>1</v>
      </c>
      <c r="P19" s="80">
        <f t="shared" si="1"/>
        <v>1.1000000000000001</v>
      </c>
      <c r="Q19" s="80">
        <f t="shared" si="1"/>
        <v>1.3</v>
      </c>
      <c r="R19" s="80">
        <f t="shared" si="1"/>
        <v>1.3</v>
      </c>
      <c r="S19" s="80">
        <f t="shared" si="1"/>
        <v>1.2</v>
      </c>
      <c r="T19" s="80">
        <f t="shared" si="1"/>
        <v>1</v>
      </c>
      <c r="U19" s="80">
        <f t="shared" si="1"/>
        <v>0.9</v>
      </c>
      <c r="V19" s="80">
        <f t="shared" si="1"/>
        <v>0.8</v>
      </c>
      <c r="W19" s="80">
        <f t="shared" si="1"/>
        <v>0.9</v>
      </c>
      <c r="X19" s="80">
        <f>B17</f>
        <v>0.9</v>
      </c>
      <c r="Y19" s="80">
        <f>C17</f>
        <v>0.8</v>
      </c>
      <c r="Z19" s="77"/>
      <c r="AA19" s="77"/>
      <c r="AB19" s="77"/>
      <c r="AC19" s="77"/>
    </row>
    <row r="20" spans="1:29" x14ac:dyDescent="0.3">
      <c r="A20" s="79">
        <v>4</v>
      </c>
      <c r="B20" s="80">
        <f>E17</f>
        <v>1</v>
      </c>
      <c r="C20" s="80">
        <f t="shared" ref="C20:V20" si="2">F17</f>
        <v>1.1000000000000001</v>
      </c>
      <c r="D20" s="80">
        <f t="shared" si="2"/>
        <v>1.3</v>
      </c>
      <c r="E20" s="80">
        <f t="shared" si="2"/>
        <v>1.3</v>
      </c>
      <c r="F20" s="80">
        <f t="shared" si="2"/>
        <v>1.2</v>
      </c>
      <c r="G20" s="80">
        <f t="shared" si="2"/>
        <v>1</v>
      </c>
      <c r="H20" s="80">
        <f t="shared" si="2"/>
        <v>0.9</v>
      </c>
      <c r="I20" s="80">
        <f t="shared" si="2"/>
        <v>0.8</v>
      </c>
      <c r="J20" s="80">
        <f t="shared" si="2"/>
        <v>0.9</v>
      </c>
      <c r="K20" s="80">
        <f t="shared" si="2"/>
        <v>0.9</v>
      </c>
      <c r="L20" s="80">
        <f t="shared" si="2"/>
        <v>0.8</v>
      </c>
      <c r="M20" s="80">
        <f t="shared" si="2"/>
        <v>0.8</v>
      </c>
      <c r="N20" s="80">
        <f t="shared" si="2"/>
        <v>1</v>
      </c>
      <c r="O20" s="80">
        <f t="shared" si="2"/>
        <v>1.1000000000000001</v>
      </c>
      <c r="P20" s="80">
        <f t="shared" si="2"/>
        <v>1.3</v>
      </c>
      <c r="Q20" s="80">
        <f t="shared" si="2"/>
        <v>1.3</v>
      </c>
      <c r="R20" s="80">
        <f t="shared" si="2"/>
        <v>1.2</v>
      </c>
      <c r="S20" s="80">
        <f t="shared" si="2"/>
        <v>1</v>
      </c>
      <c r="T20" s="80">
        <f t="shared" si="2"/>
        <v>0.9</v>
      </c>
      <c r="U20" s="80">
        <f t="shared" si="2"/>
        <v>0.8</v>
      </c>
      <c r="V20" s="80">
        <f t="shared" si="2"/>
        <v>0.9</v>
      </c>
      <c r="W20" s="80">
        <f>B17</f>
        <v>0.9</v>
      </c>
      <c r="X20" s="80">
        <f>C17</f>
        <v>0.8</v>
      </c>
      <c r="Y20" s="80">
        <f>D17</f>
        <v>0.8</v>
      </c>
      <c r="Z20" s="77"/>
      <c r="AA20" s="77"/>
      <c r="AB20" s="77"/>
      <c r="AC20" s="77"/>
    </row>
    <row r="21" spans="1:29" x14ac:dyDescent="0.3">
      <c r="A21" s="79">
        <v>5</v>
      </c>
      <c r="B21" s="80">
        <f>F17</f>
        <v>1.1000000000000001</v>
      </c>
      <c r="C21" s="80">
        <f t="shared" ref="C21:U21" si="3">G17</f>
        <v>1.3</v>
      </c>
      <c r="D21" s="80">
        <f t="shared" si="3"/>
        <v>1.3</v>
      </c>
      <c r="E21" s="80">
        <f t="shared" si="3"/>
        <v>1.2</v>
      </c>
      <c r="F21" s="80">
        <f t="shared" si="3"/>
        <v>1</v>
      </c>
      <c r="G21" s="80">
        <f t="shared" si="3"/>
        <v>0.9</v>
      </c>
      <c r="H21" s="80">
        <f t="shared" si="3"/>
        <v>0.8</v>
      </c>
      <c r="I21" s="80">
        <f t="shared" si="3"/>
        <v>0.9</v>
      </c>
      <c r="J21" s="80">
        <f t="shared" si="3"/>
        <v>0.9</v>
      </c>
      <c r="K21" s="80">
        <f t="shared" si="3"/>
        <v>0.8</v>
      </c>
      <c r="L21" s="80">
        <f t="shared" si="3"/>
        <v>0.8</v>
      </c>
      <c r="M21" s="80">
        <f t="shared" si="3"/>
        <v>1</v>
      </c>
      <c r="N21" s="80">
        <f t="shared" si="3"/>
        <v>1.1000000000000001</v>
      </c>
      <c r="O21" s="80">
        <f t="shared" si="3"/>
        <v>1.3</v>
      </c>
      <c r="P21" s="80">
        <f t="shared" si="3"/>
        <v>1.3</v>
      </c>
      <c r="Q21" s="80">
        <f t="shared" si="3"/>
        <v>1.2</v>
      </c>
      <c r="R21" s="80">
        <f t="shared" si="3"/>
        <v>1</v>
      </c>
      <c r="S21" s="80">
        <f t="shared" si="3"/>
        <v>0.9</v>
      </c>
      <c r="T21" s="80">
        <f t="shared" si="3"/>
        <v>0.8</v>
      </c>
      <c r="U21" s="80">
        <f t="shared" si="3"/>
        <v>0.9</v>
      </c>
      <c r="V21" s="80">
        <f>B17</f>
        <v>0.9</v>
      </c>
      <c r="W21" s="80">
        <f>C17</f>
        <v>0.8</v>
      </c>
      <c r="X21" s="80">
        <f>D17</f>
        <v>0.8</v>
      </c>
      <c r="Y21" s="80">
        <f>E17</f>
        <v>1</v>
      </c>
      <c r="Z21" s="77"/>
      <c r="AA21" s="77"/>
      <c r="AB21" s="77"/>
      <c r="AC21" s="77"/>
    </row>
    <row r="22" spans="1:29" x14ac:dyDescent="0.3">
      <c r="A22" s="79">
        <v>6</v>
      </c>
      <c r="B22" s="80">
        <f>G17</f>
        <v>1.3</v>
      </c>
      <c r="C22" s="80">
        <f t="shared" ref="C22:T22" si="4">H17</f>
        <v>1.3</v>
      </c>
      <c r="D22" s="80">
        <f t="shared" si="4"/>
        <v>1.2</v>
      </c>
      <c r="E22" s="80">
        <f t="shared" si="4"/>
        <v>1</v>
      </c>
      <c r="F22" s="80">
        <f t="shared" si="4"/>
        <v>0.9</v>
      </c>
      <c r="G22" s="80">
        <f t="shared" si="4"/>
        <v>0.8</v>
      </c>
      <c r="H22" s="80">
        <f t="shared" si="4"/>
        <v>0.9</v>
      </c>
      <c r="I22" s="80">
        <f t="shared" si="4"/>
        <v>0.9</v>
      </c>
      <c r="J22" s="80">
        <f t="shared" si="4"/>
        <v>0.8</v>
      </c>
      <c r="K22" s="80">
        <f t="shared" si="4"/>
        <v>0.8</v>
      </c>
      <c r="L22" s="80">
        <f t="shared" si="4"/>
        <v>1</v>
      </c>
      <c r="M22" s="80">
        <f t="shared" si="4"/>
        <v>1.1000000000000001</v>
      </c>
      <c r="N22" s="80">
        <f t="shared" si="4"/>
        <v>1.3</v>
      </c>
      <c r="O22" s="80">
        <f t="shared" si="4"/>
        <v>1.3</v>
      </c>
      <c r="P22" s="80">
        <f t="shared" si="4"/>
        <v>1.2</v>
      </c>
      <c r="Q22" s="80">
        <f t="shared" si="4"/>
        <v>1</v>
      </c>
      <c r="R22" s="80">
        <f t="shared" si="4"/>
        <v>0.9</v>
      </c>
      <c r="S22" s="80">
        <f t="shared" si="4"/>
        <v>0.8</v>
      </c>
      <c r="T22" s="80">
        <f t="shared" si="4"/>
        <v>0.9</v>
      </c>
      <c r="U22" s="80">
        <f>B17</f>
        <v>0.9</v>
      </c>
      <c r="V22" s="80">
        <f>C17</f>
        <v>0.8</v>
      </c>
      <c r="W22" s="80">
        <f>D17</f>
        <v>0.8</v>
      </c>
      <c r="X22" s="80">
        <f>E17</f>
        <v>1</v>
      </c>
      <c r="Y22" s="80">
        <f>F17</f>
        <v>1.1000000000000001</v>
      </c>
      <c r="Z22" s="77"/>
      <c r="AA22" s="77"/>
      <c r="AB22" s="77"/>
      <c r="AC22" s="77"/>
    </row>
    <row r="23" spans="1:29" x14ac:dyDescent="0.3">
      <c r="A23" s="79">
        <v>7</v>
      </c>
      <c r="B23" s="80">
        <f>H17</f>
        <v>1.3</v>
      </c>
      <c r="C23" s="80">
        <f t="shared" ref="C23:S23" si="5">I17</f>
        <v>1.2</v>
      </c>
      <c r="D23" s="80">
        <f t="shared" si="5"/>
        <v>1</v>
      </c>
      <c r="E23" s="80">
        <f t="shared" si="5"/>
        <v>0.9</v>
      </c>
      <c r="F23" s="80">
        <f t="shared" si="5"/>
        <v>0.8</v>
      </c>
      <c r="G23" s="80">
        <f t="shared" si="5"/>
        <v>0.9</v>
      </c>
      <c r="H23" s="80">
        <f t="shared" si="5"/>
        <v>0.9</v>
      </c>
      <c r="I23" s="80">
        <f t="shared" si="5"/>
        <v>0.8</v>
      </c>
      <c r="J23" s="80">
        <f t="shared" si="5"/>
        <v>0.8</v>
      </c>
      <c r="K23" s="80">
        <f t="shared" si="5"/>
        <v>1</v>
      </c>
      <c r="L23" s="80">
        <f t="shared" si="5"/>
        <v>1.1000000000000001</v>
      </c>
      <c r="M23" s="80">
        <f t="shared" si="5"/>
        <v>1.3</v>
      </c>
      <c r="N23" s="80">
        <f t="shared" si="5"/>
        <v>1.3</v>
      </c>
      <c r="O23" s="80">
        <f t="shared" si="5"/>
        <v>1.2</v>
      </c>
      <c r="P23" s="80">
        <f t="shared" si="5"/>
        <v>1</v>
      </c>
      <c r="Q23" s="80">
        <f t="shared" si="5"/>
        <v>0.9</v>
      </c>
      <c r="R23" s="80">
        <f t="shared" si="5"/>
        <v>0.8</v>
      </c>
      <c r="S23" s="80">
        <f t="shared" si="5"/>
        <v>0.9</v>
      </c>
      <c r="T23" s="80">
        <f t="shared" ref="T23:Y23" si="6">B17</f>
        <v>0.9</v>
      </c>
      <c r="U23" s="80">
        <f t="shared" si="6"/>
        <v>0.8</v>
      </c>
      <c r="V23" s="80">
        <f t="shared" si="6"/>
        <v>0.8</v>
      </c>
      <c r="W23" s="80">
        <f t="shared" si="6"/>
        <v>1</v>
      </c>
      <c r="X23" s="80">
        <f t="shared" si="6"/>
        <v>1.1000000000000001</v>
      </c>
      <c r="Y23" s="80">
        <f t="shared" si="6"/>
        <v>1.3</v>
      </c>
      <c r="Z23" s="77"/>
      <c r="AA23" s="77"/>
      <c r="AB23" s="77"/>
      <c r="AC23" s="77"/>
    </row>
    <row r="24" spans="1:29" x14ac:dyDescent="0.3">
      <c r="A24" s="79">
        <v>8</v>
      </c>
      <c r="B24" s="80">
        <f>I17</f>
        <v>1.2</v>
      </c>
      <c r="C24" s="80">
        <f t="shared" ref="C24:R24" si="7">J17</f>
        <v>1</v>
      </c>
      <c r="D24" s="80">
        <f t="shared" si="7"/>
        <v>0.9</v>
      </c>
      <c r="E24" s="80">
        <f t="shared" si="7"/>
        <v>0.8</v>
      </c>
      <c r="F24" s="80">
        <f t="shared" si="7"/>
        <v>0.9</v>
      </c>
      <c r="G24" s="80">
        <f t="shared" si="7"/>
        <v>0.9</v>
      </c>
      <c r="H24" s="80">
        <f t="shared" si="7"/>
        <v>0.8</v>
      </c>
      <c r="I24" s="80">
        <f t="shared" si="7"/>
        <v>0.8</v>
      </c>
      <c r="J24" s="80">
        <f t="shared" si="7"/>
        <v>1</v>
      </c>
      <c r="K24" s="80">
        <f t="shared" si="7"/>
        <v>1.1000000000000001</v>
      </c>
      <c r="L24" s="80">
        <f t="shared" si="7"/>
        <v>1.3</v>
      </c>
      <c r="M24" s="80">
        <f t="shared" si="7"/>
        <v>1.3</v>
      </c>
      <c r="N24" s="80">
        <f t="shared" si="7"/>
        <v>1.2</v>
      </c>
      <c r="O24" s="80">
        <f t="shared" si="7"/>
        <v>1</v>
      </c>
      <c r="P24" s="80">
        <f t="shared" si="7"/>
        <v>0.9</v>
      </c>
      <c r="Q24" s="80">
        <f t="shared" si="7"/>
        <v>0.8</v>
      </c>
      <c r="R24" s="80">
        <f t="shared" si="7"/>
        <v>0.9</v>
      </c>
      <c r="S24" s="80">
        <f>B17</f>
        <v>0.9</v>
      </c>
      <c r="T24" s="80">
        <f t="shared" ref="T24:Y24" si="8">C17</f>
        <v>0.8</v>
      </c>
      <c r="U24" s="80">
        <f t="shared" si="8"/>
        <v>0.8</v>
      </c>
      <c r="V24" s="80">
        <f t="shared" si="8"/>
        <v>1</v>
      </c>
      <c r="W24" s="80">
        <f t="shared" si="8"/>
        <v>1.1000000000000001</v>
      </c>
      <c r="X24" s="80">
        <f t="shared" si="8"/>
        <v>1.3</v>
      </c>
      <c r="Y24" s="80">
        <f t="shared" si="8"/>
        <v>1.3</v>
      </c>
      <c r="Z24" s="77"/>
      <c r="AA24" s="77"/>
      <c r="AB24" s="77"/>
      <c r="AC24" s="77"/>
    </row>
    <row r="25" spans="1:29" x14ac:dyDescent="0.3">
      <c r="A25" s="79">
        <v>9</v>
      </c>
      <c r="B25" s="80">
        <f>J17</f>
        <v>1</v>
      </c>
      <c r="C25" s="80">
        <f t="shared" ref="C25:Q25" si="9">K17</f>
        <v>0.9</v>
      </c>
      <c r="D25" s="80">
        <f t="shared" si="9"/>
        <v>0.8</v>
      </c>
      <c r="E25" s="80">
        <f t="shared" si="9"/>
        <v>0.9</v>
      </c>
      <c r="F25" s="80">
        <f t="shared" si="9"/>
        <v>0.9</v>
      </c>
      <c r="G25" s="80">
        <f t="shared" si="9"/>
        <v>0.8</v>
      </c>
      <c r="H25" s="80">
        <f t="shared" si="9"/>
        <v>0.8</v>
      </c>
      <c r="I25" s="80">
        <f t="shared" si="9"/>
        <v>1</v>
      </c>
      <c r="J25" s="80">
        <f t="shared" si="9"/>
        <v>1.1000000000000001</v>
      </c>
      <c r="K25" s="80">
        <f t="shared" si="9"/>
        <v>1.3</v>
      </c>
      <c r="L25" s="80">
        <f t="shared" si="9"/>
        <v>1.3</v>
      </c>
      <c r="M25" s="80">
        <f t="shared" si="9"/>
        <v>1.2</v>
      </c>
      <c r="N25" s="80">
        <f t="shared" si="9"/>
        <v>1</v>
      </c>
      <c r="O25" s="80">
        <f t="shared" si="9"/>
        <v>0.9</v>
      </c>
      <c r="P25" s="80">
        <f t="shared" si="9"/>
        <v>0.8</v>
      </c>
      <c r="Q25" s="80">
        <f t="shared" si="9"/>
        <v>0.9</v>
      </c>
      <c r="R25" s="80">
        <f>B17</f>
        <v>0.9</v>
      </c>
      <c r="S25" s="80">
        <f t="shared" ref="S25:Y25" si="10">C17</f>
        <v>0.8</v>
      </c>
      <c r="T25" s="80">
        <f t="shared" si="10"/>
        <v>0.8</v>
      </c>
      <c r="U25" s="80">
        <f t="shared" si="10"/>
        <v>1</v>
      </c>
      <c r="V25" s="80">
        <f t="shared" si="10"/>
        <v>1.1000000000000001</v>
      </c>
      <c r="W25" s="80">
        <f t="shared" si="10"/>
        <v>1.3</v>
      </c>
      <c r="X25" s="80">
        <f t="shared" si="10"/>
        <v>1.3</v>
      </c>
      <c r="Y25" s="80">
        <f t="shared" si="10"/>
        <v>1.2</v>
      </c>
      <c r="Z25" s="77"/>
      <c r="AA25" s="77"/>
      <c r="AB25" s="77"/>
      <c r="AC25" s="77"/>
    </row>
    <row r="26" spans="1:29" x14ac:dyDescent="0.3">
      <c r="A26" s="79">
        <v>10</v>
      </c>
      <c r="B26" s="80">
        <f>K17</f>
        <v>0.9</v>
      </c>
      <c r="C26" s="80">
        <f t="shared" ref="C26:P26" si="11">L17</f>
        <v>0.8</v>
      </c>
      <c r="D26" s="80">
        <f t="shared" si="11"/>
        <v>0.9</v>
      </c>
      <c r="E26" s="80">
        <f t="shared" si="11"/>
        <v>0.9</v>
      </c>
      <c r="F26" s="80">
        <f t="shared" si="11"/>
        <v>0.8</v>
      </c>
      <c r="G26" s="80">
        <f t="shared" si="11"/>
        <v>0.8</v>
      </c>
      <c r="H26" s="80">
        <f t="shared" si="11"/>
        <v>1</v>
      </c>
      <c r="I26" s="80">
        <f t="shared" si="11"/>
        <v>1.1000000000000001</v>
      </c>
      <c r="J26" s="80">
        <f t="shared" si="11"/>
        <v>1.3</v>
      </c>
      <c r="K26" s="80">
        <f t="shared" si="11"/>
        <v>1.3</v>
      </c>
      <c r="L26" s="80">
        <f t="shared" si="11"/>
        <v>1.2</v>
      </c>
      <c r="M26" s="80">
        <f t="shared" si="11"/>
        <v>1</v>
      </c>
      <c r="N26" s="80">
        <f t="shared" si="11"/>
        <v>0.9</v>
      </c>
      <c r="O26" s="80">
        <f t="shared" si="11"/>
        <v>0.8</v>
      </c>
      <c r="P26" s="80">
        <f t="shared" si="11"/>
        <v>0.9</v>
      </c>
      <c r="Q26" s="80">
        <f>B17</f>
        <v>0.9</v>
      </c>
      <c r="R26" s="80">
        <f t="shared" ref="R26:Y26" si="12">C17</f>
        <v>0.8</v>
      </c>
      <c r="S26" s="80">
        <f t="shared" si="12"/>
        <v>0.8</v>
      </c>
      <c r="T26" s="80">
        <f t="shared" si="12"/>
        <v>1</v>
      </c>
      <c r="U26" s="80">
        <f t="shared" si="12"/>
        <v>1.1000000000000001</v>
      </c>
      <c r="V26" s="80">
        <f t="shared" si="12"/>
        <v>1.3</v>
      </c>
      <c r="W26" s="80">
        <f t="shared" si="12"/>
        <v>1.3</v>
      </c>
      <c r="X26" s="80">
        <f t="shared" si="12"/>
        <v>1.2</v>
      </c>
      <c r="Y26" s="80">
        <f t="shared" si="12"/>
        <v>1</v>
      </c>
      <c r="Z26" s="77"/>
      <c r="AA26" s="77"/>
      <c r="AB26" s="77"/>
      <c r="AC26" s="77"/>
    </row>
    <row r="27" spans="1:29" x14ac:dyDescent="0.3">
      <c r="A27" s="79">
        <v>11</v>
      </c>
      <c r="B27" s="80">
        <f>L17</f>
        <v>0.8</v>
      </c>
      <c r="C27" s="80">
        <f t="shared" ref="C27:O27" si="13">M17</f>
        <v>0.9</v>
      </c>
      <c r="D27" s="80">
        <f t="shared" si="13"/>
        <v>0.9</v>
      </c>
      <c r="E27" s="80">
        <f t="shared" si="13"/>
        <v>0.8</v>
      </c>
      <c r="F27" s="80">
        <f t="shared" si="13"/>
        <v>0.8</v>
      </c>
      <c r="G27" s="80">
        <f t="shared" si="13"/>
        <v>1</v>
      </c>
      <c r="H27" s="80">
        <f t="shared" si="13"/>
        <v>1.1000000000000001</v>
      </c>
      <c r="I27" s="80">
        <f t="shared" si="13"/>
        <v>1.3</v>
      </c>
      <c r="J27" s="80">
        <f t="shared" si="13"/>
        <v>1.3</v>
      </c>
      <c r="K27" s="80">
        <f t="shared" si="13"/>
        <v>1.2</v>
      </c>
      <c r="L27" s="80">
        <f t="shared" si="13"/>
        <v>1</v>
      </c>
      <c r="M27" s="80">
        <f t="shared" si="13"/>
        <v>0.9</v>
      </c>
      <c r="N27" s="80">
        <f t="shared" si="13"/>
        <v>0.8</v>
      </c>
      <c r="O27" s="80">
        <f t="shared" si="13"/>
        <v>0.9</v>
      </c>
      <c r="P27" s="80">
        <f>B17</f>
        <v>0.9</v>
      </c>
      <c r="Q27" s="80">
        <f t="shared" ref="Q27:Y27" si="14">C17</f>
        <v>0.8</v>
      </c>
      <c r="R27" s="80">
        <f t="shared" si="14"/>
        <v>0.8</v>
      </c>
      <c r="S27" s="80">
        <f t="shared" si="14"/>
        <v>1</v>
      </c>
      <c r="T27" s="80">
        <f t="shared" si="14"/>
        <v>1.1000000000000001</v>
      </c>
      <c r="U27" s="80">
        <f t="shared" si="14"/>
        <v>1.3</v>
      </c>
      <c r="V27" s="80">
        <f t="shared" si="14"/>
        <v>1.3</v>
      </c>
      <c r="W27" s="80">
        <f t="shared" si="14"/>
        <v>1.2</v>
      </c>
      <c r="X27" s="80">
        <f t="shared" si="14"/>
        <v>1</v>
      </c>
      <c r="Y27" s="80">
        <f t="shared" si="14"/>
        <v>0.9</v>
      </c>
      <c r="Z27" s="77"/>
      <c r="AA27" s="77"/>
      <c r="AB27" s="77"/>
      <c r="AC27" s="77"/>
    </row>
    <row r="28" spans="1:29" x14ac:dyDescent="0.3">
      <c r="A28" s="79">
        <v>12</v>
      </c>
      <c r="B28" s="80">
        <f>M17</f>
        <v>0.9</v>
      </c>
      <c r="C28" s="80">
        <f t="shared" ref="C28:N28" si="15">N17</f>
        <v>0.9</v>
      </c>
      <c r="D28" s="80">
        <f t="shared" si="15"/>
        <v>0.8</v>
      </c>
      <c r="E28" s="80">
        <f t="shared" si="15"/>
        <v>0.8</v>
      </c>
      <c r="F28" s="80">
        <f t="shared" si="15"/>
        <v>1</v>
      </c>
      <c r="G28" s="80">
        <f t="shared" si="15"/>
        <v>1.1000000000000001</v>
      </c>
      <c r="H28" s="80">
        <f t="shared" si="15"/>
        <v>1.3</v>
      </c>
      <c r="I28" s="80">
        <f t="shared" si="15"/>
        <v>1.3</v>
      </c>
      <c r="J28" s="80">
        <f t="shared" si="15"/>
        <v>1.2</v>
      </c>
      <c r="K28" s="80">
        <f t="shared" si="15"/>
        <v>1</v>
      </c>
      <c r="L28" s="80">
        <f t="shared" si="15"/>
        <v>0.9</v>
      </c>
      <c r="M28" s="80">
        <f t="shared" si="15"/>
        <v>0.8</v>
      </c>
      <c r="N28" s="80">
        <f t="shared" si="15"/>
        <v>0.9</v>
      </c>
      <c r="O28" s="80">
        <f>B17</f>
        <v>0.9</v>
      </c>
      <c r="P28" s="80">
        <f t="shared" ref="P28:Y28" si="16">C17</f>
        <v>0.8</v>
      </c>
      <c r="Q28" s="80">
        <f t="shared" si="16"/>
        <v>0.8</v>
      </c>
      <c r="R28" s="80">
        <f t="shared" si="16"/>
        <v>1</v>
      </c>
      <c r="S28" s="80">
        <f t="shared" si="16"/>
        <v>1.1000000000000001</v>
      </c>
      <c r="T28" s="80">
        <f t="shared" si="16"/>
        <v>1.3</v>
      </c>
      <c r="U28" s="80">
        <f t="shared" si="16"/>
        <v>1.3</v>
      </c>
      <c r="V28" s="80">
        <f t="shared" si="16"/>
        <v>1.2</v>
      </c>
      <c r="W28" s="80">
        <f t="shared" si="16"/>
        <v>1</v>
      </c>
      <c r="X28" s="80">
        <f t="shared" si="16"/>
        <v>0.9</v>
      </c>
      <c r="Y28" s="80">
        <f t="shared" si="16"/>
        <v>0.8</v>
      </c>
      <c r="Z28" s="77"/>
      <c r="AA28" s="77"/>
      <c r="AB28" s="77"/>
      <c r="AC28" s="77"/>
    </row>
    <row r="29" spans="1:29" x14ac:dyDescent="0.3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</row>
    <row r="30" spans="1:29" x14ac:dyDescent="0.3">
      <c r="A30" s="84" t="s">
        <v>118</v>
      </c>
      <c r="B30" s="80">
        <v>0.7</v>
      </c>
      <c r="C30" s="80">
        <v>0.7</v>
      </c>
      <c r="D30" s="80">
        <v>0.9</v>
      </c>
      <c r="E30" s="80">
        <v>1</v>
      </c>
      <c r="F30" s="80">
        <v>1</v>
      </c>
      <c r="G30" s="80">
        <v>1</v>
      </c>
      <c r="H30" s="80">
        <v>1</v>
      </c>
      <c r="I30" s="80">
        <v>0</v>
      </c>
      <c r="J30" s="80">
        <v>0</v>
      </c>
      <c r="K30" s="80">
        <v>0.7</v>
      </c>
      <c r="L30" s="80">
        <v>0.6</v>
      </c>
      <c r="M30" s="80">
        <v>0</v>
      </c>
      <c r="N30" s="80">
        <v>0.7</v>
      </c>
      <c r="O30" s="80">
        <v>0.8</v>
      </c>
      <c r="P30" s="80">
        <v>1</v>
      </c>
      <c r="Q30" s="80">
        <v>1</v>
      </c>
      <c r="R30" s="80">
        <v>1</v>
      </c>
      <c r="S30" s="80">
        <v>1</v>
      </c>
      <c r="T30" s="80">
        <v>1</v>
      </c>
      <c r="U30" s="80">
        <v>0</v>
      </c>
      <c r="V30" s="80">
        <v>0</v>
      </c>
      <c r="W30" s="80">
        <v>0.6</v>
      </c>
      <c r="X30" s="80">
        <v>0.6</v>
      </c>
      <c r="Y30" s="80">
        <v>0</v>
      </c>
      <c r="Z30" s="77"/>
      <c r="AA30" s="77"/>
      <c r="AB30" s="77"/>
      <c r="AC30" s="77"/>
    </row>
    <row r="31" spans="1:29" x14ac:dyDescent="0.3">
      <c r="A31" s="77"/>
      <c r="B31" s="77" t="s">
        <v>149</v>
      </c>
      <c r="C31" s="77" t="s">
        <v>150</v>
      </c>
      <c r="D31" s="77" t="s">
        <v>151</v>
      </c>
      <c r="E31" s="77" t="s">
        <v>152</v>
      </c>
      <c r="F31" s="77" t="s">
        <v>153</v>
      </c>
      <c r="G31" s="77" t="s">
        <v>154</v>
      </c>
      <c r="H31" s="77" t="s">
        <v>155</v>
      </c>
      <c r="I31" s="77" t="s">
        <v>156</v>
      </c>
      <c r="J31" s="77" t="s">
        <v>157</v>
      </c>
      <c r="K31" s="77" t="s">
        <v>158</v>
      </c>
      <c r="L31" s="77" t="s">
        <v>159</v>
      </c>
      <c r="M31" s="77" t="s">
        <v>160</v>
      </c>
      <c r="N31" s="77" t="s">
        <v>161</v>
      </c>
      <c r="O31" s="77" t="s">
        <v>150</v>
      </c>
      <c r="P31" s="77" t="s">
        <v>151</v>
      </c>
      <c r="Q31" s="77" t="s">
        <v>152</v>
      </c>
      <c r="R31" s="77" t="s">
        <v>153</v>
      </c>
      <c r="S31" s="77" t="s">
        <v>154</v>
      </c>
      <c r="T31" s="77" t="s">
        <v>155</v>
      </c>
      <c r="U31" s="77" t="s">
        <v>156</v>
      </c>
      <c r="V31" s="77" t="s">
        <v>157</v>
      </c>
      <c r="W31" s="77" t="s">
        <v>158</v>
      </c>
      <c r="X31" s="77" t="s">
        <v>159</v>
      </c>
      <c r="Y31" s="77" t="s">
        <v>160</v>
      </c>
      <c r="Z31" s="77"/>
      <c r="AA31" s="77"/>
      <c r="AB31" s="77"/>
      <c r="AC31" s="77"/>
    </row>
    <row r="32" spans="1:29" x14ac:dyDescent="0.3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</row>
    <row r="33" spans="1:29" x14ac:dyDescent="0.3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77"/>
      <c r="Y33" s="77"/>
      <c r="Z33" s="77"/>
      <c r="AA33" s="77"/>
      <c r="AB33" s="77"/>
      <c r="AC33" s="77"/>
    </row>
    <row r="34" spans="1:29" ht="18" x14ac:dyDescent="0.35">
      <c r="A34" s="81" t="s">
        <v>88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</row>
    <row r="35" spans="1:29" x14ac:dyDescent="0.3">
      <c r="A35" s="77" t="s">
        <v>89</v>
      </c>
      <c r="B35" s="77"/>
      <c r="C35" s="77"/>
      <c r="D35" s="77">
        <v>3</v>
      </c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</row>
    <row r="36" spans="1:29" x14ac:dyDescent="0.3">
      <c r="A36" s="77" t="s">
        <v>90</v>
      </c>
      <c r="B36" s="77"/>
      <c r="C36" s="77"/>
      <c r="D36" s="82">
        <f>100%/D35</f>
        <v>0.33333333333333331</v>
      </c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</row>
    <row r="37" spans="1:29" x14ac:dyDescent="0.3">
      <c r="A37" s="77" t="s">
        <v>91</v>
      </c>
      <c r="B37" s="77"/>
      <c r="C37" s="77"/>
      <c r="D37" s="77">
        <f>SUMIF(Оборудование!D4:D23,"&gt;40000",Оборудование!E4:E23)*К!D36/100%</f>
        <v>12291333.333333332</v>
      </c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</row>
    <row r="38" spans="1:29" x14ac:dyDescent="0.3">
      <c r="A38" s="77" t="s">
        <v>92</v>
      </c>
      <c r="B38" s="77"/>
      <c r="C38" s="77"/>
      <c r="D38" s="77"/>
      <c r="E38" s="77"/>
      <c r="F38" s="77">
        <f>D37/12</f>
        <v>1024277.7777777776</v>
      </c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</row>
    <row r="39" spans="1:29" x14ac:dyDescent="0.3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</row>
    <row r="40" spans="1:29" x14ac:dyDescent="0.3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</row>
    <row r="41" spans="1:29" x14ac:dyDescent="0.3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</row>
    <row r="42" spans="1:29" x14ac:dyDescent="0.3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</row>
    <row r="43" spans="1:29" x14ac:dyDescent="0.3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</row>
    <row r="44" spans="1:29" x14ac:dyDescent="0.3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</row>
    <row r="45" spans="1:29" x14ac:dyDescent="0.3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</row>
    <row r="46" spans="1:29" x14ac:dyDescent="0.3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</row>
    <row r="47" spans="1:29" x14ac:dyDescent="0.3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</row>
    <row r="48" spans="1:29" x14ac:dyDescent="0.3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</row>
    <row r="49" spans="1:29" x14ac:dyDescent="0.3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</row>
  </sheetData>
  <mergeCells count="2">
    <mergeCell ref="AB1:AC2"/>
    <mergeCell ref="A1:R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XFD40"/>
  <sheetViews>
    <sheetView showGridLines="0" zoomScale="65" workbookViewId="0">
      <pane xSplit="1" topLeftCell="B1" activePane="topRight" state="frozen"/>
      <selection pane="topRight" activeCell="AA3" sqref="AA3"/>
    </sheetView>
  </sheetViews>
  <sheetFormatPr defaultColWidth="9.109375" defaultRowHeight="18" x14ac:dyDescent="0.35"/>
  <cols>
    <col min="1" max="1" width="71" style="45" bestFit="1" customWidth="1"/>
    <col min="2" max="2" width="13.109375" style="66" bestFit="1" customWidth="1"/>
    <col min="3" max="8" width="12.6640625" style="66" bestFit="1" customWidth="1"/>
    <col min="9" max="9" width="13.5546875" style="66" bestFit="1" customWidth="1"/>
    <col min="10" max="12" width="12.6640625" style="66" bestFit="1" customWidth="1"/>
    <col min="13" max="13" width="13.5546875" style="66" bestFit="1" customWidth="1"/>
    <col min="14" max="25" width="12.6640625" style="66" bestFit="1" customWidth="1"/>
    <col min="26" max="26" width="9.109375" style="65" customWidth="1"/>
    <col min="27" max="16384" width="9.109375" style="65"/>
  </cols>
  <sheetData>
    <row r="1" spans="1:25 16384:16384" x14ac:dyDescent="0.3">
      <c r="A1" s="144" t="s">
        <v>99</v>
      </c>
      <c r="B1" s="144" t="s">
        <v>64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5 16384:16384" x14ac:dyDescent="0.35">
      <c r="A2" s="144"/>
      <c r="B2" s="31" t="str">
        <f>Продажи!C3</f>
        <v>Июль</v>
      </c>
      <c r="C2" s="31" t="str">
        <f>Продажи!D3</f>
        <v>Август</v>
      </c>
      <c r="D2" s="31" t="str">
        <f>Продажи!E3</f>
        <v>Сентябрь</v>
      </c>
      <c r="E2" s="31" t="str">
        <f>Продажи!F3</f>
        <v>Октябрь</v>
      </c>
      <c r="F2" s="31" t="str">
        <f>Продажи!G3</f>
        <v>Ноябрь</v>
      </c>
      <c r="G2" s="31" t="str">
        <f>Продажи!H3</f>
        <v>Декабрь</v>
      </c>
      <c r="H2" s="31" t="str">
        <f>Продажи!I3</f>
        <v>Январь</v>
      </c>
      <c r="I2" s="31" t="str">
        <f>Продажи!J3</f>
        <v>Февраль</v>
      </c>
      <c r="J2" s="31" t="str">
        <f>Продажи!K3</f>
        <v>Март</v>
      </c>
      <c r="K2" s="31" t="str">
        <f>Продажи!L3</f>
        <v>Апрель</v>
      </c>
      <c r="L2" s="31" t="str">
        <f>Продажи!M3</f>
        <v>Май</v>
      </c>
      <c r="M2" s="31" t="str">
        <f>Продажи!N3</f>
        <v>Июнь</v>
      </c>
      <c r="N2" s="31" t="str">
        <f>Продажи!O3</f>
        <v>Июль</v>
      </c>
      <c r="O2" s="31" t="str">
        <f>Продажи!P3</f>
        <v>Август</v>
      </c>
      <c r="P2" s="31" t="str">
        <f>Продажи!Q3</f>
        <v>Сентябрь</v>
      </c>
      <c r="Q2" s="31" t="str">
        <f>Продажи!R3</f>
        <v>Октябрь</v>
      </c>
      <c r="R2" s="31" t="str">
        <f>Продажи!S3</f>
        <v>Ноябрь</v>
      </c>
      <c r="S2" s="31" t="str">
        <f>Продажи!T3</f>
        <v>Декабрь</v>
      </c>
      <c r="T2" s="31" t="str">
        <f>Продажи!U3</f>
        <v>Январь</v>
      </c>
      <c r="U2" s="31" t="str">
        <f>Продажи!V3</f>
        <v>Февраль</v>
      </c>
      <c r="V2" s="31" t="str">
        <f>Продажи!W3</f>
        <v>Март</v>
      </c>
      <c r="W2" s="31" t="str">
        <f>Продажи!X3</f>
        <v>Апрель</v>
      </c>
      <c r="X2" s="31" t="str">
        <f>Продажи!Y3</f>
        <v>Май</v>
      </c>
      <c r="Y2" s="31" t="str">
        <f>Продажи!Z3</f>
        <v>Июнь</v>
      </c>
    </row>
    <row r="3" spans="1:25 16384:16384" s="67" customFormat="1" x14ac:dyDescent="0.3">
      <c r="A3" s="32" t="s">
        <v>119</v>
      </c>
      <c r="B3" s="33">
        <v>2500</v>
      </c>
      <c r="C3" s="33">
        <v>2500</v>
      </c>
      <c r="D3" s="33">
        <v>2500</v>
      </c>
      <c r="E3" s="33">
        <v>2500</v>
      </c>
      <c r="F3" s="33">
        <v>2500</v>
      </c>
      <c r="G3" s="33">
        <v>2500</v>
      </c>
      <c r="H3" s="33">
        <v>2500</v>
      </c>
      <c r="I3" s="33">
        <v>2500</v>
      </c>
      <c r="J3" s="33">
        <v>2500</v>
      </c>
      <c r="K3" s="33">
        <v>2500</v>
      </c>
      <c r="L3" s="33">
        <v>2500</v>
      </c>
      <c r="M3" s="33">
        <v>2500</v>
      </c>
      <c r="N3" s="33">
        <v>2500</v>
      </c>
      <c r="O3" s="33">
        <v>2500</v>
      </c>
      <c r="P3" s="33">
        <v>2500</v>
      </c>
      <c r="Q3" s="33">
        <v>2500</v>
      </c>
      <c r="R3" s="33">
        <v>2500</v>
      </c>
      <c r="S3" s="33">
        <v>2500</v>
      </c>
      <c r="T3" s="33">
        <v>2500</v>
      </c>
      <c r="U3" s="33">
        <v>2500</v>
      </c>
      <c r="V3" s="33">
        <v>2500</v>
      </c>
      <c r="W3" s="33">
        <v>2500</v>
      </c>
      <c r="X3" s="33">
        <v>2500</v>
      </c>
      <c r="Y3" s="33">
        <v>2500</v>
      </c>
    </row>
    <row r="4" spans="1:25 16384:16384" s="67" customFormat="1" x14ac:dyDescent="0.3">
      <c r="A4" s="32" t="s">
        <v>111</v>
      </c>
      <c r="B4" s="33">
        <f>B19</f>
        <v>237000</v>
      </c>
      <c r="C4" s="33">
        <f t="shared" ref="C4:Y4" si="0">C19</f>
        <v>237000</v>
      </c>
      <c r="D4" s="33">
        <f t="shared" si="0"/>
        <v>237000</v>
      </c>
      <c r="E4" s="33">
        <f t="shared" si="0"/>
        <v>237000</v>
      </c>
      <c r="F4" s="33">
        <f t="shared" si="0"/>
        <v>237000</v>
      </c>
      <c r="G4" s="33">
        <f t="shared" si="0"/>
        <v>273000</v>
      </c>
      <c r="H4" s="33">
        <f t="shared" si="0"/>
        <v>273000</v>
      </c>
      <c r="I4" s="33">
        <f t="shared" si="0"/>
        <v>273000</v>
      </c>
      <c r="J4" s="33">
        <f t="shared" si="0"/>
        <v>273000</v>
      </c>
      <c r="K4" s="33">
        <f t="shared" si="0"/>
        <v>273000</v>
      </c>
      <c r="L4" s="33">
        <f t="shared" si="0"/>
        <v>237000</v>
      </c>
      <c r="M4" s="33">
        <f t="shared" si="0"/>
        <v>237000</v>
      </c>
      <c r="N4" s="33">
        <f t="shared" si="0"/>
        <v>237000</v>
      </c>
      <c r="O4" s="33">
        <f t="shared" si="0"/>
        <v>237000</v>
      </c>
      <c r="P4" s="33">
        <f t="shared" si="0"/>
        <v>237000</v>
      </c>
      <c r="Q4" s="33">
        <f t="shared" si="0"/>
        <v>237000</v>
      </c>
      <c r="R4" s="33">
        <f t="shared" si="0"/>
        <v>237000</v>
      </c>
      <c r="S4" s="33">
        <f t="shared" si="0"/>
        <v>273000</v>
      </c>
      <c r="T4" s="33">
        <f t="shared" si="0"/>
        <v>273000</v>
      </c>
      <c r="U4" s="33">
        <f t="shared" si="0"/>
        <v>273000</v>
      </c>
      <c r="V4" s="33">
        <f t="shared" si="0"/>
        <v>273000</v>
      </c>
      <c r="W4" s="33">
        <f t="shared" si="0"/>
        <v>273000</v>
      </c>
      <c r="X4" s="33">
        <f t="shared" si="0"/>
        <v>223500</v>
      </c>
      <c r="Y4" s="33">
        <f t="shared" si="0"/>
        <v>237000</v>
      </c>
    </row>
    <row r="5" spans="1:25 16384:16384" s="67" customFormat="1" x14ac:dyDescent="0.3">
      <c r="A5" s="32" t="s">
        <v>110</v>
      </c>
      <c r="B5" s="33">
        <v>22180</v>
      </c>
      <c r="C5" s="33">
        <v>22180</v>
      </c>
      <c r="D5" s="33">
        <v>22180</v>
      </c>
      <c r="E5" s="33">
        <v>22180</v>
      </c>
      <c r="F5" s="33">
        <v>22180</v>
      </c>
      <c r="G5" s="33">
        <v>22180</v>
      </c>
      <c r="H5" s="33">
        <v>22180</v>
      </c>
      <c r="I5" s="33">
        <v>22180</v>
      </c>
      <c r="J5" s="33">
        <v>22180</v>
      </c>
      <c r="K5" s="33">
        <v>22180</v>
      </c>
      <c r="L5" s="33">
        <v>22180</v>
      </c>
      <c r="M5" s="33">
        <v>22180</v>
      </c>
      <c r="N5" s="33">
        <v>22180</v>
      </c>
      <c r="O5" s="33">
        <v>22180</v>
      </c>
      <c r="P5" s="33">
        <v>22180</v>
      </c>
      <c r="Q5" s="33">
        <v>22180</v>
      </c>
      <c r="R5" s="33">
        <v>22180</v>
      </c>
      <c r="S5" s="33">
        <v>22180</v>
      </c>
      <c r="T5" s="33">
        <v>22180</v>
      </c>
      <c r="U5" s="33">
        <v>22180</v>
      </c>
      <c r="V5" s="33">
        <v>22180</v>
      </c>
      <c r="W5" s="33">
        <v>22180</v>
      </c>
      <c r="X5" s="33">
        <v>22180</v>
      </c>
      <c r="Y5" s="33">
        <v>22180</v>
      </c>
    </row>
    <row r="6" spans="1:25 16384:16384" s="67" customFormat="1" x14ac:dyDescent="0.3">
      <c r="A6" s="32" t="s">
        <v>202</v>
      </c>
      <c r="B6" s="33">
        <v>210000</v>
      </c>
      <c r="C6" s="33">
        <v>210000</v>
      </c>
      <c r="D6" s="33">
        <v>210000</v>
      </c>
      <c r="E6" s="33">
        <v>210000</v>
      </c>
      <c r="F6" s="33">
        <v>210000</v>
      </c>
      <c r="G6" s="33">
        <v>210000</v>
      </c>
      <c r="H6" s="33">
        <v>210000</v>
      </c>
      <c r="I6" s="33">
        <v>210000</v>
      </c>
      <c r="J6" s="33">
        <v>210000</v>
      </c>
      <c r="K6" s="33">
        <v>210000</v>
      </c>
      <c r="L6" s="33">
        <v>210000</v>
      </c>
      <c r="M6" s="33">
        <v>210000</v>
      </c>
      <c r="N6" s="33">
        <v>210000</v>
      </c>
      <c r="O6" s="33">
        <v>210000</v>
      </c>
      <c r="P6" s="33">
        <v>210000</v>
      </c>
      <c r="Q6" s="33">
        <v>210000</v>
      </c>
      <c r="R6" s="33">
        <v>210000</v>
      </c>
      <c r="S6" s="33">
        <v>210000</v>
      </c>
      <c r="T6" s="33">
        <v>210000</v>
      </c>
      <c r="U6" s="33">
        <v>210000</v>
      </c>
      <c r="V6" s="33">
        <v>210000</v>
      </c>
      <c r="W6" s="33">
        <v>210000</v>
      </c>
      <c r="X6" s="33">
        <v>210000</v>
      </c>
      <c r="Y6" s="33">
        <v>210000</v>
      </c>
    </row>
    <row r="7" spans="1:25 16384:16384" s="67" customFormat="1" x14ac:dyDescent="0.3">
      <c r="A7" s="32" t="s">
        <v>98</v>
      </c>
      <c r="B7" s="33">
        <f>'Титульный лист'!$I$33</f>
        <v>200000</v>
      </c>
      <c r="C7" s="33">
        <f>'Титульный лист'!$I$33</f>
        <v>200000</v>
      </c>
      <c r="D7" s="33">
        <f>'Титульный лист'!$I$33</f>
        <v>200000</v>
      </c>
      <c r="E7" s="33">
        <f>'Титульный лист'!$I$33</f>
        <v>200000</v>
      </c>
      <c r="F7" s="33">
        <f>'Титульный лист'!$I$33</f>
        <v>200000</v>
      </c>
      <c r="G7" s="33">
        <f>'Титульный лист'!$I$33</f>
        <v>200000</v>
      </c>
      <c r="H7" s="33">
        <f>'Титульный лист'!$I$33</f>
        <v>200000</v>
      </c>
      <c r="I7" s="33">
        <f>'Титульный лист'!$I$33</f>
        <v>200000</v>
      </c>
      <c r="J7" s="33">
        <f>'Титульный лист'!$I$33</f>
        <v>200000</v>
      </c>
      <c r="K7" s="33">
        <f>'Титульный лист'!$I$33</f>
        <v>200000</v>
      </c>
      <c r="L7" s="33">
        <f>'Титульный лист'!$I$33</f>
        <v>200000</v>
      </c>
      <c r="M7" s="33">
        <f>'Титульный лист'!$I$33</f>
        <v>200000</v>
      </c>
      <c r="N7" s="33">
        <f>'Титульный лист'!$I$33</f>
        <v>200000</v>
      </c>
      <c r="O7" s="33">
        <f>'Титульный лист'!$I$33</f>
        <v>200000</v>
      </c>
      <c r="P7" s="33">
        <f>'Титульный лист'!$I$33</f>
        <v>200000</v>
      </c>
      <c r="Q7" s="33">
        <f>'Титульный лист'!$I$33</f>
        <v>200000</v>
      </c>
      <c r="R7" s="33">
        <f>'Титульный лист'!$I$33</f>
        <v>200000</v>
      </c>
      <c r="S7" s="33">
        <f>'Титульный лист'!$I$33</f>
        <v>200000</v>
      </c>
      <c r="T7" s="33">
        <f>'Титульный лист'!$I$33</f>
        <v>200000</v>
      </c>
      <c r="U7" s="33">
        <f>'Титульный лист'!$I$33</f>
        <v>200000</v>
      </c>
      <c r="V7" s="33">
        <f>'Титульный лист'!$I$33</f>
        <v>200000</v>
      </c>
      <c r="W7" s="33">
        <f>'Титульный лист'!$I$33</f>
        <v>200000</v>
      </c>
      <c r="X7" s="33">
        <f>'Титульный лист'!$I$33</f>
        <v>200000</v>
      </c>
      <c r="Y7" s="33">
        <f>'Титульный лист'!$I$33</f>
        <v>200000</v>
      </c>
    </row>
    <row r="8" spans="1:25 16384:16384" s="67" customFormat="1" x14ac:dyDescent="0.3">
      <c r="A8" s="32" t="s">
        <v>70</v>
      </c>
      <c r="B8" s="33">
        <f>B26</f>
        <v>97000</v>
      </c>
      <c r="C8" s="33">
        <f t="shared" ref="C8:Y8" si="1">C26</f>
        <v>97000</v>
      </c>
      <c r="D8" s="33">
        <f t="shared" si="1"/>
        <v>97000</v>
      </c>
      <c r="E8" s="33">
        <f t="shared" si="1"/>
        <v>97000</v>
      </c>
      <c r="F8" s="33">
        <f t="shared" si="1"/>
        <v>97000</v>
      </c>
      <c r="G8" s="33">
        <f t="shared" si="1"/>
        <v>97000</v>
      </c>
      <c r="H8" s="33">
        <f t="shared" si="1"/>
        <v>97000</v>
      </c>
      <c r="I8" s="33">
        <f t="shared" si="1"/>
        <v>97000</v>
      </c>
      <c r="J8" s="33">
        <f t="shared" si="1"/>
        <v>97000</v>
      </c>
      <c r="K8" s="33">
        <f t="shared" si="1"/>
        <v>97000</v>
      </c>
      <c r="L8" s="33">
        <f t="shared" si="1"/>
        <v>97000</v>
      </c>
      <c r="M8" s="33">
        <f t="shared" si="1"/>
        <v>97000</v>
      </c>
      <c r="N8" s="33">
        <f t="shared" si="1"/>
        <v>97000</v>
      </c>
      <c r="O8" s="33">
        <f t="shared" si="1"/>
        <v>97000</v>
      </c>
      <c r="P8" s="33">
        <f t="shared" si="1"/>
        <v>97000</v>
      </c>
      <c r="Q8" s="33">
        <f t="shared" si="1"/>
        <v>97000</v>
      </c>
      <c r="R8" s="33">
        <f t="shared" si="1"/>
        <v>97000</v>
      </c>
      <c r="S8" s="33">
        <f t="shared" si="1"/>
        <v>97000</v>
      </c>
      <c r="T8" s="33">
        <f t="shared" si="1"/>
        <v>97000</v>
      </c>
      <c r="U8" s="33">
        <f t="shared" si="1"/>
        <v>97000</v>
      </c>
      <c r="V8" s="33">
        <f t="shared" si="1"/>
        <v>97000</v>
      </c>
      <c r="W8" s="33">
        <f t="shared" si="1"/>
        <v>97000</v>
      </c>
      <c r="X8" s="33">
        <f t="shared" si="1"/>
        <v>97000</v>
      </c>
      <c r="Y8" s="33">
        <f t="shared" si="1"/>
        <v>97000</v>
      </c>
    </row>
    <row r="9" spans="1:25 16384:16384" s="67" customFormat="1" x14ac:dyDescent="0.3">
      <c r="A9" s="32" t="s">
        <v>108</v>
      </c>
      <c r="B9" s="33">
        <f>'Титульный лист'!$I$35</f>
        <v>50000</v>
      </c>
      <c r="C9" s="33">
        <f>'Титульный лист'!$I$35</f>
        <v>50000</v>
      </c>
      <c r="D9" s="33">
        <f>'Титульный лист'!$I$35</f>
        <v>50000</v>
      </c>
      <c r="E9" s="33">
        <f>'Титульный лист'!$I$35</f>
        <v>50000</v>
      </c>
      <c r="F9" s="33">
        <f>'Титульный лист'!$I$35</f>
        <v>50000</v>
      </c>
      <c r="G9" s="33">
        <f>'Титульный лист'!$I$35</f>
        <v>50000</v>
      </c>
      <c r="H9" s="33">
        <f>'Титульный лист'!$I$35</f>
        <v>50000</v>
      </c>
      <c r="I9" s="33">
        <f>'Титульный лист'!$I$35</f>
        <v>50000</v>
      </c>
      <c r="J9" s="33">
        <f>'Титульный лист'!$I$35</f>
        <v>50000</v>
      </c>
      <c r="K9" s="33">
        <f>'Титульный лист'!$I$35</f>
        <v>50000</v>
      </c>
      <c r="L9" s="33">
        <f>'Титульный лист'!$I$35</f>
        <v>50000</v>
      </c>
      <c r="M9" s="33">
        <f>'Титульный лист'!$I$35</f>
        <v>50000</v>
      </c>
      <c r="N9" s="33">
        <f>'Титульный лист'!$I$35</f>
        <v>50000</v>
      </c>
      <c r="O9" s="33">
        <f>'Титульный лист'!$I$35</f>
        <v>50000</v>
      </c>
      <c r="P9" s="33">
        <f>'Титульный лист'!$I$35</f>
        <v>50000</v>
      </c>
      <c r="Q9" s="33">
        <f>'Титульный лист'!$I$35</f>
        <v>50000</v>
      </c>
      <c r="R9" s="33">
        <f>'Титульный лист'!$I$35</f>
        <v>50000</v>
      </c>
      <c r="S9" s="33">
        <f>'Титульный лист'!$I$35</f>
        <v>50000</v>
      </c>
      <c r="T9" s="33">
        <f>'Титульный лист'!$I$35</f>
        <v>50000</v>
      </c>
      <c r="U9" s="33">
        <f>'Титульный лист'!$I$35</f>
        <v>50000</v>
      </c>
      <c r="V9" s="33">
        <f>'Титульный лист'!$I$35</f>
        <v>50000</v>
      </c>
      <c r="W9" s="33">
        <f>'Титульный лист'!$I$35</f>
        <v>50000</v>
      </c>
      <c r="X9" s="33">
        <f>'Титульный лист'!$I$35</f>
        <v>50000</v>
      </c>
      <c r="Y9" s="33">
        <f>'Титульный лист'!$I$35</f>
        <v>50000</v>
      </c>
    </row>
    <row r="10" spans="1:25 16384:16384" s="67" customFormat="1" x14ac:dyDescent="0.3">
      <c r="A10" s="34" t="s">
        <v>103</v>
      </c>
      <c r="B10" s="33">
        <f>ФОТ!B17</f>
        <v>1909000</v>
      </c>
      <c r="C10" s="33">
        <f>ФОТ!C17</f>
        <v>1909000</v>
      </c>
      <c r="D10" s="33">
        <f>ФОТ!D17</f>
        <v>1909000</v>
      </c>
      <c r="E10" s="33">
        <f>ФОТ!E17</f>
        <v>1909000</v>
      </c>
      <c r="F10" s="33">
        <f>ФОТ!F17</f>
        <v>1909000</v>
      </c>
      <c r="G10" s="33">
        <f>ФОТ!G17</f>
        <v>1909000</v>
      </c>
      <c r="H10" s="33">
        <f>ФОТ!H17</f>
        <v>1909000</v>
      </c>
      <c r="I10" s="33">
        <f>ФОТ!I17</f>
        <v>1909000</v>
      </c>
      <c r="J10" s="33">
        <f>ФОТ!J17</f>
        <v>1909000</v>
      </c>
      <c r="K10" s="33">
        <f>ФОТ!K17</f>
        <v>1909000</v>
      </c>
      <c r="L10" s="33">
        <f>ФОТ!L17</f>
        <v>1909000</v>
      </c>
      <c r="M10" s="33">
        <f>ФОТ!M17</f>
        <v>1909000</v>
      </c>
      <c r="N10" s="33">
        <f>ФОТ!N17</f>
        <v>1909000</v>
      </c>
      <c r="O10" s="33">
        <f>ФОТ!O17</f>
        <v>1909000</v>
      </c>
      <c r="P10" s="33">
        <f>ФОТ!P17</f>
        <v>1909000</v>
      </c>
      <c r="Q10" s="33">
        <f>ФОТ!Q17</f>
        <v>1909000</v>
      </c>
      <c r="R10" s="33">
        <f>ФОТ!R17</f>
        <v>1909000</v>
      </c>
      <c r="S10" s="33">
        <f>ФОТ!S17</f>
        <v>1909000</v>
      </c>
      <c r="T10" s="33">
        <f>ФОТ!T17</f>
        <v>1909000</v>
      </c>
      <c r="U10" s="33">
        <f>ФОТ!U17</f>
        <v>1909000</v>
      </c>
      <c r="V10" s="33">
        <f>ФОТ!V17</f>
        <v>1909000</v>
      </c>
      <c r="W10" s="33">
        <f>ФОТ!W17</f>
        <v>1909000</v>
      </c>
      <c r="X10" s="33">
        <f>ФОТ!X17</f>
        <v>1909000</v>
      </c>
      <c r="Y10" s="33">
        <f>ФОТ!Y17</f>
        <v>1909000</v>
      </c>
    </row>
    <row r="11" spans="1:25 16384:16384" s="68" customFormat="1" x14ac:dyDescent="0.35">
      <c r="A11" s="35" t="s">
        <v>14</v>
      </c>
      <c r="B11" s="64">
        <f>SUM(B3:B10)</f>
        <v>2727680</v>
      </c>
      <c r="C11" s="64">
        <f t="shared" ref="C11:Y11" si="2">SUM(C3:C10)</f>
        <v>2727680</v>
      </c>
      <c r="D11" s="64">
        <f t="shared" si="2"/>
        <v>2727680</v>
      </c>
      <c r="E11" s="64">
        <f t="shared" si="2"/>
        <v>2727680</v>
      </c>
      <c r="F11" s="64">
        <f t="shared" si="2"/>
        <v>2727680</v>
      </c>
      <c r="G11" s="64">
        <f t="shared" si="2"/>
        <v>2763680</v>
      </c>
      <c r="H11" s="64">
        <f t="shared" si="2"/>
        <v>2763680</v>
      </c>
      <c r="I11" s="64">
        <f t="shared" si="2"/>
        <v>2763680</v>
      </c>
      <c r="J11" s="64">
        <f t="shared" si="2"/>
        <v>2763680</v>
      </c>
      <c r="K11" s="64">
        <f t="shared" si="2"/>
        <v>2763680</v>
      </c>
      <c r="L11" s="64">
        <f t="shared" si="2"/>
        <v>2727680</v>
      </c>
      <c r="M11" s="64">
        <f t="shared" si="2"/>
        <v>2727680</v>
      </c>
      <c r="N11" s="64">
        <f t="shared" si="2"/>
        <v>2727680</v>
      </c>
      <c r="O11" s="64">
        <f t="shared" si="2"/>
        <v>2727680</v>
      </c>
      <c r="P11" s="64">
        <f t="shared" si="2"/>
        <v>2727680</v>
      </c>
      <c r="Q11" s="64">
        <f t="shared" si="2"/>
        <v>2727680</v>
      </c>
      <c r="R11" s="64">
        <f t="shared" si="2"/>
        <v>2727680</v>
      </c>
      <c r="S11" s="64">
        <f t="shared" si="2"/>
        <v>2763680</v>
      </c>
      <c r="T11" s="64">
        <f t="shared" si="2"/>
        <v>2763680</v>
      </c>
      <c r="U11" s="64">
        <f t="shared" si="2"/>
        <v>2763680</v>
      </c>
      <c r="V11" s="64">
        <f t="shared" si="2"/>
        <v>2763680</v>
      </c>
      <c r="W11" s="64">
        <f t="shared" si="2"/>
        <v>2763680</v>
      </c>
      <c r="X11" s="64">
        <f t="shared" si="2"/>
        <v>2714180</v>
      </c>
      <c r="Y11" s="64">
        <f t="shared" si="2"/>
        <v>2727680</v>
      </c>
    </row>
    <row r="13" spans="1:25 16384:16384" x14ac:dyDescent="0.35">
      <c r="A13" s="88" t="s">
        <v>163</v>
      </c>
      <c r="B13" s="91" t="str">
        <f>B2</f>
        <v>Июль</v>
      </c>
      <c r="C13" s="91" t="str">
        <f t="shared" ref="C13:Y13" si="3">C2</f>
        <v>Август</v>
      </c>
      <c r="D13" s="91" t="str">
        <f t="shared" si="3"/>
        <v>Сентябрь</v>
      </c>
      <c r="E13" s="91" t="str">
        <f t="shared" si="3"/>
        <v>Октябрь</v>
      </c>
      <c r="F13" s="91" t="str">
        <f t="shared" si="3"/>
        <v>Ноябрь</v>
      </c>
      <c r="G13" s="91" t="str">
        <f t="shared" si="3"/>
        <v>Декабрь</v>
      </c>
      <c r="H13" s="91" t="str">
        <f t="shared" si="3"/>
        <v>Январь</v>
      </c>
      <c r="I13" s="91" t="str">
        <f t="shared" si="3"/>
        <v>Февраль</v>
      </c>
      <c r="J13" s="91" t="str">
        <f t="shared" si="3"/>
        <v>Март</v>
      </c>
      <c r="K13" s="91" t="str">
        <f t="shared" si="3"/>
        <v>Апрель</v>
      </c>
      <c r="L13" s="91" t="str">
        <f t="shared" si="3"/>
        <v>Май</v>
      </c>
      <c r="M13" s="91" t="str">
        <f t="shared" si="3"/>
        <v>Июнь</v>
      </c>
      <c r="N13" s="91" t="str">
        <f t="shared" si="3"/>
        <v>Июль</v>
      </c>
      <c r="O13" s="91" t="str">
        <f t="shared" si="3"/>
        <v>Август</v>
      </c>
      <c r="P13" s="91" t="str">
        <f t="shared" si="3"/>
        <v>Сентябрь</v>
      </c>
      <c r="Q13" s="91" t="str">
        <f t="shared" si="3"/>
        <v>Октябрь</v>
      </c>
      <c r="R13" s="91" t="str">
        <f t="shared" si="3"/>
        <v>Ноябрь</v>
      </c>
      <c r="S13" s="91" t="str">
        <f t="shared" si="3"/>
        <v>Декабрь</v>
      </c>
      <c r="T13" s="91" t="str">
        <f t="shared" si="3"/>
        <v>Январь</v>
      </c>
      <c r="U13" s="91" t="str">
        <f t="shared" si="3"/>
        <v>Февраль</v>
      </c>
      <c r="V13" s="91" t="str">
        <f t="shared" si="3"/>
        <v>Март</v>
      </c>
      <c r="W13" s="91" t="str">
        <f t="shared" si="3"/>
        <v>Апрель</v>
      </c>
      <c r="X13" s="91" t="str">
        <f t="shared" si="3"/>
        <v>Май</v>
      </c>
      <c r="Y13" s="91" t="str">
        <f t="shared" si="3"/>
        <v>Июнь</v>
      </c>
    </row>
    <row r="14" spans="1:25 16384:16384" x14ac:dyDescent="0.35">
      <c r="A14" s="45" t="s">
        <v>195</v>
      </c>
      <c r="B14" s="89">
        <v>180000</v>
      </c>
      <c r="C14" s="89">
        <v>180000</v>
      </c>
      <c r="D14" s="89">
        <v>180000</v>
      </c>
      <c r="E14" s="89">
        <v>180000</v>
      </c>
      <c r="F14" s="89">
        <v>180000</v>
      </c>
      <c r="G14" s="89">
        <v>180000</v>
      </c>
      <c r="H14" s="89">
        <v>180000</v>
      </c>
      <c r="I14" s="89">
        <v>180000</v>
      </c>
      <c r="J14" s="89">
        <v>180000</v>
      </c>
      <c r="K14" s="89">
        <v>180000</v>
      </c>
      <c r="L14" s="89">
        <v>180000</v>
      </c>
      <c r="M14" s="89">
        <v>180000</v>
      </c>
      <c r="N14" s="89">
        <v>180000</v>
      </c>
      <c r="O14" s="89">
        <v>180000</v>
      </c>
      <c r="P14" s="89">
        <v>180000</v>
      </c>
      <c r="Q14" s="89">
        <v>180000</v>
      </c>
      <c r="R14" s="89">
        <v>180000</v>
      </c>
      <c r="S14" s="89">
        <v>180000</v>
      </c>
      <c r="T14" s="89">
        <v>180000</v>
      </c>
      <c r="U14" s="89">
        <v>180000</v>
      </c>
      <c r="V14" s="89">
        <v>180000</v>
      </c>
      <c r="W14" s="89">
        <v>180000</v>
      </c>
      <c r="X14" s="89">
        <v>180000</v>
      </c>
      <c r="Y14" s="89">
        <v>180000</v>
      </c>
      <c r="XFD14" s="89"/>
    </row>
    <row r="15" spans="1:25 16384:16384" x14ac:dyDescent="0.35">
      <c r="A15" s="45" t="s">
        <v>165</v>
      </c>
      <c r="B15" s="89">
        <v>15000</v>
      </c>
      <c r="C15" s="89">
        <v>15000</v>
      </c>
      <c r="D15" s="89">
        <v>15000</v>
      </c>
      <c r="E15" s="89">
        <v>15000</v>
      </c>
      <c r="F15" s="89">
        <v>15000</v>
      </c>
      <c r="G15" s="89">
        <v>15000</v>
      </c>
      <c r="H15" s="89">
        <v>15000</v>
      </c>
      <c r="I15" s="89">
        <v>15000</v>
      </c>
      <c r="J15" s="89">
        <v>15000</v>
      </c>
      <c r="K15" s="89">
        <v>15000</v>
      </c>
      <c r="L15" s="89">
        <v>15000</v>
      </c>
      <c r="M15" s="89">
        <v>15000</v>
      </c>
      <c r="N15" s="89">
        <v>15000</v>
      </c>
      <c r="O15" s="89">
        <v>15000</v>
      </c>
      <c r="P15" s="89">
        <v>15000</v>
      </c>
      <c r="Q15" s="89">
        <v>15000</v>
      </c>
      <c r="R15" s="89">
        <v>15000</v>
      </c>
      <c r="S15" s="89">
        <v>15000</v>
      </c>
      <c r="T15" s="89">
        <v>15000</v>
      </c>
      <c r="U15" s="89">
        <v>15000</v>
      </c>
      <c r="V15" s="89">
        <v>15000</v>
      </c>
      <c r="W15" s="89">
        <v>15000</v>
      </c>
      <c r="X15" s="66">
        <v>1500</v>
      </c>
      <c r="Y15" s="89">
        <v>15000</v>
      </c>
    </row>
    <row r="16" spans="1:25 16384:16384" x14ac:dyDescent="0.35">
      <c r="A16" s="45" t="s">
        <v>166</v>
      </c>
      <c r="B16" s="66">
        <v>30000</v>
      </c>
      <c r="C16" s="66">
        <v>30000</v>
      </c>
      <c r="D16" s="66">
        <v>30000</v>
      </c>
      <c r="E16" s="66">
        <v>30000</v>
      </c>
      <c r="F16" s="66">
        <v>30000</v>
      </c>
      <c r="G16" s="66">
        <v>30000</v>
      </c>
      <c r="H16" s="66">
        <v>30000</v>
      </c>
      <c r="I16" s="66">
        <v>30000</v>
      </c>
      <c r="J16" s="66">
        <v>30000</v>
      </c>
      <c r="K16" s="66">
        <v>30000</v>
      </c>
      <c r="L16" s="66">
        <v>30000</v>
      </c>
      <c r="M16" s="66">
        <v>30000</v>
      </c>
      <c r="N16" s="66">
        <v>30000</v>
      </c>
      <c r="O16" s="66">
        <v>30000</v>
      </c>
      <c r="P16" s="66">
        <v>30000</v>
      </c>
      <c r="Q16" s="66">
        <v>30000</v>
      </c>
      <c r="R16" s="66">
        <v>30000</v>
      </c>
      <c r="S16" s="66">
        <v>30000</v>
      </c>
      <c r="T16" s="66">
        <v>30000</v>
      </c>
      <c r="U16" s="66">
        <v>30000</v>
      </c>
      <c r="V16" s="66">
        <v>30000</v>
      </c>
      <c r="W16" s="66">
        <v>30000</v>
      </c>
      <c r="X16" s="66">
        <v>30000</v>
      </c>
      <c r="Y16" s="66">
        <v>30000</v>
      </c>
    </row>
    <row r="17" spans="1:26" x14ac:dyDescent="0.35">
      <c r="A17" s="45" t="s">
        <v>167</v>
      </c>
      <c r="B17" s="89">
        <v>12000</v>
      </c>
      <c r="C17" s="89">
        <v>12000</v>
      </c>
      <c r="D17" s="89">
        <v>12000</v>
      </c>
      <c r="E17" s="89">
        <v>12000</v>
      </c>
      <c r="F17" s="89">
        <v>12000</v>
      </c>
      <c r="G17" s="89">
        <v>48000</v>
      </c>
      <c r="H17" s="89">
        <v>48000</v>
      </c>
      <c r="I17" s="89">
        <v>48000</v>
      </c>
      <c r="J17" s="89">
        <v>48000</v>
      </c>
      <c r="K17" s="89">
        <v>48000</v>
      </c>
      <c r="L17" s="89">
        <v>12000</v>
      </c>
      <c r="M17" s="89">
        <v>12000</v>
      </c>
      <c r="N17" s="89">
        <v>12000</v>
      </c>
      <c r="O17" s="89">
        <v>12000</v>
      </c>
      <c r="P17" s="89">
        <v>12000</v>
      </c>
      <c r="Q17" s="89">
        <v>12000</v>
      </c>
      <c r="R17" s="89">
        <v>12000</v>
      </c>
      <c r="S17" s="89">
        <v>48000</v>
      </c>
      <c r="T17" s="89">
        <v>48000</v>
      </c>
      <c r="U17" s="89">
        <v>48000</v>
      </c>
      <c r="V17" s="89">
        <v>48000</v>
      </c>
      <c r="W17" s="89">
        <v>48000</v>
      </c>
      <c r="X17" s="89">
        <v>12000</v>
      </c>
      <c r="Y17" s="89">
        <v>12000</v>
      </c>
    </row>
    <row r="18" spans="1:26" x14ac:dyDescent="0.35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</row>
    <row r="19" spans="1:26" x14ac:dyDescent="0.35">
      <c r="A19" s="88" t="s">
        <v>14</v>
      </c>
      <c r="B19" s="90">
        <f>SUM(B14:B18)</f>
        <v>237000</v>
      </c>
      <c r="C19" s="90">
        <f t="shared" ref="C19:Y19" si="4">SUM(C14:C18)</f>
        <v>237000</v>
      </c>
      <c r="D19" s="90">
        <f t="shared" si="4"/>
        <v>237000</v>
      </c>
      <c r="E19" s="90">
        <f t="shared" si="4"/>
        <v>237000</v>
      </c>
      <c r="F19" s="90">
        <f t="shared" si="4"/>
        <v>237000</v>
      </c>
      <c r="G19" s="90">
        <f t="shared" si="4"/>
        <v>273000</v>
      </c>
      <c r="H19" s="90">
        <f t="shared" si="4"/>
        <v>273000</v>
      </c>
      <c r="I19" s="90">
        <f t="shared" si="4"/>
        <v>273000</v>
      </c>
      <c r="J19" s="90">
        <f t="shared" si="4"/>
        <v>273000</v>
      </c>
      <c r="K19" s="90">
        <f t="shared" si="4"/>
        <v>273000</v>
      </c>
      <c r="L19" s="90">
        <f t="shared" si="4"/>
        <v>237000</v>
      </c>
      <c r="M19" s="90">
        <f t="shared" si="4"/>
        <v>237000</v>
      </c>
      <c r="N19" s="90">
        <f t="shared" si="4"/>
        <v>237000</v>
      </c>
      <c r="O19" s="90">
        <f t="shared" si="4"/>
        <v>237000</v>
      </c>
      <c r="P19" s="90">
        <f t="shared" si="4"/>
        <v>237000</v>
      </c>
      <c r="Q19" s="90">
        <f t="shared" si="4"/>
        <v>237000</v>
      </c>
      <c r="R19" s="90">
        <f t="shared" si="4"/>
        <v>237000</v>
      </c>
      <c r="S19" s="90">
        <f t="shared" si="4"/>
        <v>273000</v>
      </c>
      <c r="T19" s="90">
        <f t="shared" si="4"/>
        <v>273000</v>
      </c>
      <c r="U19" s="90">
        <f t="shared" si="4"/>
        <v>273000</v>
      </c>
      <c r="V19" s="90">
        <f t="shared" si="4"/>
        <v>273000</v>
      </c>
      <c r="W19" s="90">
        <f t="shared" si="4"/>
        <v>273000</v>
      </c>
      <c r="X19" s="90">
        <f t="shared" si="4"/>
        <v>223500</v>
      </c>
      <c r="Y19" s="90">
        <f t="shared" si="4"/>
        <v>237000</v>
      </c>
    </row>
    <row r="20" spans="1:26" x14ac:dyDescent="0.35">
      <c r="A20" s="92" t="s">
        <v>164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</row>
    <row r="21" spans="1:26" s="95" customFormat="1" x14ac:dyDescent="0.35">
      <c r="A21" s="94" t="s">
        <v>199</v>
      </c>
      <c r="B21" s="89">
        <v>30000</v>
      </c>
      <c r="C21" s="89">
        <v>30000</v>
      </c>
      <c r="D21" s="89">
        <v>30000</v>
      </c>
      <c r="E21" s="89">
        <v>30000</v>
      </c>
      <c r="F21" s="89">
        <v>30000</v>
      </c>
      <c r="G21" s="89">
        <v>30000</v>
      </c>
      <c r="H21" s="89">
        <v>30000</v>
      </c>
      <c r="I21" s="89">
        <v>30000</v>
      </c>
      <c r="J21" s="89">
        <v>30000</v>
      </c>
      <c r="K21" s="89">
        <v>30000</v>
      </c>
      <c r="L21" s="89">
        <v>30000</v>
      </c>
      <c r="M21" s="89">
        <v>30000</v>
      </c>
      <c r="N21" s="89">
        <v>30000</v>
      </c>
      <c r="O21" s="89">
        <v>30000</v>
      </c>
      <c r="P21" s="89">
        <v>30000</v>
      </c>
      <c r="Q21" s="89">
        <v>30000</v>
      </c>
      <c r="R21" s="89">
        <v>30000</v>
      </c>
      <c r="S21" s="89">
        <v>30000</v>
      </c>
      <c r="T21" s="89">
        <v>30000</v>
      </c>
      <c r="U21" s="89">
        <v>30000</v>
      </c>
      <c r="V21" s="89">
        <v>30000</v>
      </c>
      <c r="W21" s="89">
        <v>30000</v>
      </c>
      <c r="X21" s="89">
        <v>30000</v>
      </c>
      <c r="Y21" s="89">
        <v>30000</v>
      </c>
      <c r="Z21" s="89"/>
    </row>
    <row r="22" spans="1:26" s="95" customFormat="1" x14ac:dyDescent="0.35">
      <c r="A22" s="94" t="s">
        <v>168</v>
      </c>
      <c r="B22" s="89">
        <v>9000</v>
      </c>
      <c r="C22" s="89">
        <v>9000</v>
      </c>
      <c r="D22" s="89">
        <v>9000</v>
      </c>
      <c r="E22" s="89">
        <v>9000</v>
      </c>
      <c r="F22" s="89">
        <v>9000</v>
      </c>
      <c r="G22" s="89">
        <v>9000</v>
      </c>
      <c r="H22" s="89">
        <v>9000</v>
      </c>
      <c r="I22" s="89">
        <v>9000</v>
      </c>
      <c r="J22" s="89">
        <v>9000</v>
      </c>
      <c r="K22" s="89">
        <v>9000</v>
      </c>
      <c r="L22" s="89">
        <v>9000</v>
      </c>
      <c r="M22" s="89">
        <v>9000</v>
      </c>
      <c r="N22" s="89">
        <v>9000</v>
      </c>
      <c r="O22" s="89">
        <v>9000</v>
      </c>
      <c r="P22" s="89">
        <v>9000</v>
      </c>
      <c r="Q22" s="89">
        <v>9000</v>
      </c>
      <c r="R22" s="89">
        <v>9000</v>
      </c>
      <c r="S22" s="89">
        <v>9000</v>
      </c>
      <c r="T22" s="89">
        <v>9000</v>
      </c>
      <c r="U22" s="89">
        <v>9000</v>
      </c>
      <c r="V22" s="89">
        <v>9000</v>
      </c>
      <c r="W22" s="89">
        <v>9000</v>
      </c>
      <c r="X22" s="89">
        <v>9000</v>
      </c>
      <c r="Y22" s="89">
        <v>9000</v>
      </c>
      <c r="Z22" s="89"/>
    </row>
    <row r="23" spans="1:26" s="95" customFormat="1" x14ac:dyDescent="0.35">
      <c r="A23" s="94" t="s">
        <v>169</v>
      </c>
      <c r="B23" s="89">
        <v>18000</v>
      </c>
      <c r="C23" s="89">
        <v>18000</v>
      </c>
      <c r="D23" s="89">
        <v>18000</v>
      </c>
      <c r="E23" s="89">
        <v>18000</v>
      </c>
      <c r="F23" s="89">
        <v>18000</v>
      </c>
      <c r="G23" s="89">
        <v>18000</v>
      </c>
      <c r="H23" s="89">
        <v>18000</v>
      </c>
      <c r="I23" s="89">
        <v>18000</v>
      </c>
      <c r="J23" s="89">
        <v>18000</v>
      </c>
      <c r="K23" s="89">
        <v>18000</v>
      </c>
      <c r="L23" s="89">
        <v>18000</v>
      </c>
      <c r="M23" s="89">
        <v>18000</v>
      </c>
      <c r="N23" s="89">
        <v>18000</v>
      </c>
      <c r="O23" s="89">
        <v>18000</v>
      </c>
      <c r="P23" s="89">
        <v>18000</v>
      </c>
      <c r="Q23" s="89">
        <v>18000</v>
      </c>
      <c r="R23" s="89">
        <v>18000</v>
      </c>
      <c r="S23" s="89">
        <v>18000</v>
      </c>
      <c r="T23" s="89">
        <v>18000</v>
      </c>
      <c r="U23" s="89">
        <v>18000</v>
      </c>
      <c r="V23" s="89">
        <v>18000</v>
      </c>
      <c r="W23" s="89">
        <v>18000</v>
      </c>
      <c r="X23" s="89">
        <v>18000</v>
      </c>
      <c r="Y23" s="89">
        <v>18000</v>
      </c>
      <c r="Z23" s="89"/>
    </row>
    <row r="24" spans="1:26" s="95" customFormat="1" x14ac:dyDescent="0.35">
      <c r="A24" s="94" t="s">
        <v>197</v>
      </c>
      <c r="B24" s="89">
        <v>30000</v>
      </c>
      <c r="C24" s="89">
        <v>30000</v>
      </c>
      <c r="D24" s="89">
        <v>30000</v>
      </c>
      <c r="E24" s="89">
        <v>30000</v>
      </c>
      <c r="F24" s="89">
        <v>30000</v>
      </c>
      <c r="G24" s="89">
        <v>30000</v>
      </c>
      <c r="H24" s="89">
        <v>30000</v>
      </c>
      <c r="I24" s="89">
        <v>30000</v>
      </c>
      <c r="J24" s="89">
        <v>30000</v>
      </c>
      <c r="K24" s="89">
        <v>30000</v>
      </c>
      <c r="L24" s="89">
        <v>30000</v>
      </c>
      <c r="M24" s="89">
        <v>30000</v>
      </c>
      <c r="N24" s="89">
        <v>30000</v>
      </c>
      <c r="O24" s="89">
        <v>30000</v>
      </c>
      <c r="P24" s="89">
        <v>30000</v>
      </c>
      <c r="Q24" s="89">
        <v>30000</v>
      </c>
      <c r="R24" s="89">
        <v>30000</v>
      </c>
      <c r="S24" s="89">
        <v>30000</v>
      </c>
      <c r="T24" s="89">
        <v>30000</v>
      </c>
      <c r="U24" s="89">
        <v>30000</v>
      </c>
      <c r="V24" s="89">
        <v>30000</v>
      </c>
      <c r="W24" s="89">
        <v>30000</v>
      </c>
      <c r="X24" s="89">
        <v>30000</v>
      </c>
      <c r="Y24" s="89">
        <v>30000</v>
      </c>
      <c r="Z24" s="89"/>
    </row>
    <row r="25" spans="1:26" s="95" customFormat="1" x14ac:dyDescent="0.35">
      <c r="A25" s="94" t="s">
        <v>196</v>
      </c>
      <c r="B25" s="89">
        <v>10000</v>
      </c>
      <c r="C25" s="89">
        <v>10000</v>
      </c>
      <c r="D25" s="89">
        <v>10000</v>
      </c>
      <c r="E25" s="89">
        <v>10000</v>
      </c>
      <c r="F25" s="89">
        <v>10000</v>
      </c>
      <c r="G25" s="89">
        <v>10000</v>
      </c>
      <c r="H25" s="89">
        <v>10000</v>
      </c>
      <c r="I25" s="89">
        <v>10000</v>
      </c>
      <c r="J25" s="89">
        <v>10000</v>
      </c>
      <c r="K25" s="89">
        <v>10000</v>
      </c>
      <c r="L25" s="89">
        <v>10000</v>
      </c>
      <c r="M25" s="89">
        <v>10000</v>
      </c>
      <c r="N25" s="89">
        <v>10000</v>
      </c>
      <c r="O25" s="89">
        <v>10000</v>
      </c>
      <c r="P25" s="89">
        <v>10000</v>
      </c>
      <c r="Q25" s="89">
        <v>10000</v>
      </c>
      <c r="R25" s="89">
        <v>10000</v>
      </c>
      <c r="S25" s="89">
        <v>10000</v>
      </c>
      <c r="T25" s="89">
        <v>10000</v>
      </c>
      <c r="U25" s="89">
        <v>10000</v>
      </c>
      <c r="V25" s="89">
        <v>10000</v>
      </c>
      <c r="W25" s="89">
        <v>10000</v>
      </c>
      <c r="X25" s="89">
        <v>10000</v>
      </c>
      <c r="Y25" s="89">
        <v>10000</v>
      </c>
      <c r="Z25" s="89"/>
    </row>
    <row r="26" spans="1:26" s="95" customFormat="1" x14ac:dyDescent="0.35">
      <c r="A26" s="96" t="s">
        <v>14</v>
      </c>
      <c r="B26" s="97">
        <f>SUM(B21:B25)</f>
        <v>97000</v>
      </c>
      <c r="C26" s="97">
        <f t="shared" ref="C26:Y26" si="5">SUM(C21:C25)</f>
        <v>97000</v>
      </c>
      <c r="D26" s="97">
        <f t="shared" si="5"/>
        <v>97000</v>
      </c>
      <c r="E26" s="97">
        <f t="shared" si="5"/>
        <v>97000</v>
      </c>
      <c r="F26" s="97">
        <f t="shared" si="5"/>
        <v>97000</v>
      </c>
      <c r="G26" s="97">
        <f t="shared" si="5"/>
        <v>97000</v>
      </c>
      <c r="H26" s="97">
        <f t="shared" si="5"/>
        <v>97000</v>
      </c>
      <c r="I26" s="97">
        <f t="shared" si="5"/>
        <v>97000</v>
      </c>
      <c r="J26" s="97">
        <f t="shared" si="5"/>
        <v>97000</v>
      </c>
      <c r="K26" s="97">
        <f t="shared" si="5"/>
        <v>97000</v>
      </c>
      <c r="L26" s="97">
        <f t="shared" si="5"/>
        <v>97000</v>
      </c>
      <c r="M26" s="97">
        <f t="shared" si="5"/>
        <v>97000</v>
      </c>
      <c r="N26" s="97">
        <f t="shared" si="5"/>
        <v>97000</v>
      </c>
      <c r="O26" s="97">
        <f t="shared" si="5"/>
        <v>97000</v>
      </c>
      <c r="P26" s="97">
        <f t="shared" si="5"/>
        <v>97000</v>
      </c>
      <c r="Q26" s="97">
        <f t="shared" si="5"/>
        <v>97000</v>
      </c>
      <c r="R26" s="97">
        <f t="shared" si="5"/>
        <v>97000</v>
      </c>
      <c r="S26" s="97">
        <f t="shared" si="5"/>
        <v>97000</v>
      </c>
      <c r="T26" s="97">
        <f t="shared" si="5"/>
        <v>97000</v>
      </c>
      <c r="U26" s="97">
        <f t="shared" si="5"/>
        <v>97000</v>
      </c>
      <c r="V26" s="97">
        <f t="shared" si="5"/>
        <v>97000</v>
      </c>
      <c r="W26" s="97">
        <f t="shared" si="5"/>
        <v>97000</v>
      </c>
      <c r="X26" s="97">
        <f t="shared" si="5"/>
        <v>97000</v>
      </c>
      <c r="Y26" s="97">
        <f t="shared" si="5"/>
        <v>97000</v>
      </c>
      <c r="Z26" s="89"/>
    </row>
    <row r="29" spans="1:26" x14ac:dyDescent="0.35">
      <c r="A29" s="45" t="str">
        <f>A14</f>
        <v xml:space="preserve">оплата электроенергии </v>
      </c>
      <c r="B29" s="98">
        <f>C14/$C$19</f>
        <v>0.759493670886076</v>
      </c>
    </row>
    <row r="30" spans="1:26" x14ac:dyDescent="0.35">
      <c r="A30" s="45" t="str">
        <f t="shared" ref="A30:A33" si="6">A15</f>
        <v>вывоз ТБО</v>
      </c>
      <c r="B30" s="98">
        <f t="shared" ref="B30:B33" si="7">C15/$C$19</f>
        <v>6.3291139240506333E-2</v>
      </c>
    </row>
    <row r="31" spans="1:26" x14ac:dyDescent="0.35">
      <c r="A31" s="45" t="str">
        <f t="shared" si="6"/>
        <v xml:space="preserve">оплата услуг "бочки" </v>
      </c>
      <c r="B31" s="98">
        <f t="shared" si="7"/>
        <v>0.12658227848101267</v>
      </c>
    </row>
    <row r="32" spans="1:26" x14ac:dyDescent="0.35">
      <c r="A32" s="45" t="str">
        <f t="shared" si="6"/>
        <v>дрова</v>
      </c>
      <c r="B32" s="98">
        <f t="shared" si="7"/>
        <v>5.0632911392405063E-2</v>
      </c>
    </row>
    <row r="33" spans="1:2" x14ac:dyDescent="0.35">
      <c r="A33" s="45">
        <f t="shared" si="6"/>
        <v>0</v>
      </c>
      <c r="B33" s="98">
        <f t="shared" si="7"/>
        <v>0</v>
      </c>
    </row>
    <row r="35" spans="1:2" x14ac:dyDescent="0.35">
      <c r="A35" s="106" t="str">
        <f>A21</f>
        <v>организация транспорта до доставке персонала</v>
      </c>
      <c r="B35" s="98">
        <f>B21/$B$26</f>
        <v>0.30927835051546393</v>
      </c>
    </row>
    <row r="36" spans="1:2" x14ac:dyDescent="0.35">
      <c r="A36" s="106" t="str">
        <f t="shared" ref="A36:A39" si="8">A22</f>
        <v>моющие</v>
      </c>
      <c r="B36" s="98">
        <f t="shared" ref="B36:B39" si="9">B22/$B$26</f>
        <v>9.2783505154639179E-2</v>
      </c>
    </row>
    <row r="37" spans="1:2" x14ac:dyDescent="0.35">
      <c r="A37" s="106" t="str">
        <f t="shared" si="8"/>
        <v>уборочный инвентарь</v>
      </c>
      <c r="B37" s="98">
        <f t="shared" si="9"/>
        <v>0.18556701030927836</v>
      </c>
    </row>
    <row r="38" spans="1:2" x14ac:dyDescent="0.35">
      <c r="A38" s="106" t="str">
        <f t="shared" si="8"/>
        <v xml:space="preserve">расходные для ремонта </v>
      </c>
      <c r="B38" s="98">
        <f t="shared" si="9"/>
        <v>0.30927835051546393</v>
      </c>
    </row>
    <row r="39" spans="1:2" x14ac:dyDescent="0.35">
      <c r="A39" s="106" t="str">
        <f t="shared" si="8"/>
        <v xml:space="preserve">прочие расходы </v>
      </c>
      <c r="B39" s="98">
        <f t="shared" si="9"/>
        <v>0.10309278350515463</v>
      </c>
    </row>
    <row r="40" spans="1:2" x14ac:dyDescent="0.35">
      <c r="A40" s="106"/>
    </row>
  </sheetData>
  <mergeCells count="2">
    <mergeCell ref="B1:Y1"/>
    <mergeCell ref="A1:A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Z33"/>
  <sheetViews>
    <sheetView showGridLines="0" showZeros="0" zoomScale="57" workbookViewId="0">
      <selection activeCell="Y16" sqref="Y16"/>
    </sheetView>
  </sheetViews>
  <sheetFormatPr defaultRowHeight="18" x14ac:dyDescent="0.35"/>
  <cols>
    <col min="1" max="1" width="48.6640625" style="20" customWidth="1"/>
    <col min="2" max="5" width="14.77734375" style="8" bestFit="1" customWidth="1"/>
    <col min="6" max="6" width="17" style="8" bestFit="1" customWidth="1"/>
    <col min="7" max="7" width="14.6640625" style="8" customWidth="1"/>
    <col min="8" max="9" width="17.21875" style="8" bestFit="1" customWidth="1"/>
    <col min="10" max="10" width="16.33203125" style="8" customWidth="1"/>
    <col min="11" max="11" width="17.21875" style="8" bestFit="1" customWidth="1"/>
    <col min="12" max="12" width="14.77734375" style="8" bestFit="1" customWidth="1"/>
    <col min="13" max="13" width="16.44140625" style="8" customWidth="1"/>
    <col min="14" max="14" width="16.109375" style="8" customWidth="1"/>
    <col min="15" max="15" width="16.44140625" style="8" customWidth="1"/>
    <col min="16" max="16" width="17.109375" style="8" bestFit="1" customWidth="1"/>
    <col min="17" max="17" width="14.33203125" style="8" customWidth="1"/>
    <col min="18" max="18" width="16.33203125" style="8" customWidth="1"/>
    <col min="19" max="23" width="17.109375" style="8" bestFit="1" customWidth="1"/>
    <col min="24" max="24" width="14.88671875" style="8" customWidth="1"/>
    <col min="25" max="25" width="16.6640625" style="8" customWidth="1"/>
    <col min="26" max="26" width="8.88671875" customWidth="1"/>
    <col min="28" max="28" width="8.88671875" customWidth="1"/>
  </cols>
  <sheetData>
    <row r="1" spans="1:26" x14ac:dyDescent="0.35">
      <c r="A1" s="145" t="s">
        <v>31</v>
      </c>
      <c r="B1" s="146" t="s">
        <v>45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</row>
    <row r="2" spans="1:26" x14ac:dyDescent="0.35">
      <c r="A2" s="145"/>
      <c r="B2" s="36" t="str">
        <f>Затраты!B2</f>
        <v>Июль</v>
      </c>
      <c r="C2" s="36" t="str">
        <f>Затраты!C2</f>
        <v>Август</v>
      </c>
      <c r="D2" s="36" t="str">
        <f>Затраты!D2</f>
        <v>Сентябрь</v>
      </c>
      <c r="E2" s="36" t="str">
        <f>Затраты!E2</f>
        <v>Октябрь</v>
      </c>
      <c r="F2" s="36" t="str">
        <f>Затраты!F2</f>
        <v>Ноябрь</v>
      </c>
      <c r="G2" s="36" t="str">
        <f>Затраты!G2</f>
        <v>Декабрь</v>
      </c>
      <c r="H2" s="36" t="str">
        <f>Затраты!H2</f>
        <v>Январь</v>
      </c>
      <c r="I2" s="36" t="str">
        <f>Затраты!I2</f>
        <v>Февраль</v>
      </c>
      <c r="J2" s="36" t="str">
        <f>Затраты!J2</f>
        <v>Март</v>
      </c>
      <c r="K2" s="36" t="str">
        <f>Затраты!K2</f>
        <v>Апрель</v>
      </c>
      <c r="L2" s="36" t="str">
        <f>Затраты!L2</f>
        <v>Май</v>
      </c>
      <c r="M2" s="36" t="str">
        <f>Затраты!M2</f>
        <v>Июнь</v>
      </c>
      <c r="N2" s="36" t="str">
        <f>Затраты!N2</f>
        <v>Июль</v>
      </c>
      <c r="O2" s="36" t="str">
        <f>Затраты!O2</f>
        <v>Август</v>
      </c>
      <c r="P2" s="36" t="str">
        <f>Затраты!P2</f>
        <v>Сентябрь</v>
      </c>
      <c r="Q2" s="36" t="str">
        <f>Затраты!Q2</f>
        <v>Октябрь</v>
      </c>
      <c r="R2" s="36" t="str">
        <f>Затраты!R2</f>
        <v>Ноябрь</v>
      </c>
      <c r="S2" s="36" t="str">
        <f>Затраты!S2</f>
        <v>Декабрь</v>
      </c>
      <c r="T2" s="36" t="str">
        <f>Затраты!T2</f>
        <v>Январь</v>
      </c>
      <c r="U2" s="36" t="str">
        <f>Затраты!U2</f>
        <v>Февраль</v>
      </c>
      <c r="V2" s="36" t="str">
        <f>Затраты!V2</f>
        <v>Март</v>
      </c>
      <c r="W2" s="36" t="str">
        <f>Затраты!W2</f>
        <v>Апрель</v>
      </c>
      <c r="X2" s="36" t="str">
        <f>Затраты!X2</f>
        <v>Май</v>
      </c>
      <c r="Y2" s="36" t="str">
        <f>Затраты!Y2</f>
        <v>Июнь</v>
      </c>
    </row>
    <row r="3" spans="1:26" x14ac:dyDescent="0.35">
      <c r="A3" s="37" t="s">
        <v>16</v>
      </c>
      <c r="B3" s="28">
        <f>Продажи!C12</f>
        <v>5486229</v>
      </c>
      <c r="C3" s="28">
        <f>Продажи!D12</f>
        <v>6371200</v>
      </c>
      <c r="D3" s="28">
        <f>Продажи!E12</f>
        <v>6283910</v>
      </c>
      <c r="E3" s="28">
        <f>Продажи!F12</f>
        <v>4940310</v>
      </c>
      <c r="F3" s="28">
        <f>Продажи!G12</f>
        <v>4000520</v>
      </c>
      <c r="G3" s="28">
        <f>Продажи!H12</f>
        <v>4443710</v>
      </c>
      <c r="H3" s="28">
        <f>Продажи!I12</f>
        <v>4653710</v>
      </c>
      <c r="I3" s="28">
        <f>Продажи!J12</f>
        <v>5286500</v>
      </c>
      <c r="J3" s="28">
        <f>Продажи!K12</f>
        <v>4981800</v>
      </c>
      <c r="K3" s="28">
        <f>Продажи!L12</f>
        <v>4824730</v>
      </c>
      <c r="L3" s="28">
        <f>Продажи!M12</f>
        <v>5613900</v>
      </c>
      <c r="M3" s="28">
        <f>Продажи!N12</f>
        <v>6042800</v>
      </c>
      <c r="N3" s="28">
        <f>Продажи!O12</f>
        <v>7678500</v>
      </c>
      <c r="O3" s="28">
        <f>Продажи!P12</f>
        <v>7394600</v>
      </c>
      <c r="P3" s="28">
        <f>Продажи!Q12</f>
        <v>7101800</v>
      </c>
      <c r="Q3" s="28">
        <f>Продажи!R12</f>
        <v>5007510</v>
      </c>
      <c r="R3" s="28">
        <f>Продажи!S12</f>
        <v>4000520</v>
      </c>
      <c r="S3" s="28">
        <f>Продажи!T12</f>
        <v>4443710</v>
      </c>
      <c r="T3" s="28">
        <f>Продажи!U12</f>
        <v>4618710</v>
      </c>
      <c r="U3" s="28">
        <f>Продажи!V12</f>
        <v>5286500</v>
      </c>
      <c r="V3" s="28">
        <f>Продажи!W12</f>
        <v>4981800</v>
      </c>
      <c r="W3" s="28">
        <f>Продажи!X12</f>
        <v>4814500</v>
      </c>
      <c r="X3" s="28">
        <f>Продажи!Y12</f>
        <v>5613900</v>
      </c>
      <c r="Y3" s="28">
        <f>Продажи!Z12</f>
        <v>6418400</v>
      </c>
    </row>
    <row r="4" spans="1:26" x14ac:dyDescent="0.35">
      <c r="A4" s="37" t="s">
        <v>1</v>
      </c>
      <c r="B4" s="28">
        <f>Затраты!B11</f>
        <v>2727680</v>
      </c>
      <c r="C4" s="28">
        <f>Затраты!C11</f>
        <v>2727680</v>
      </c>
      <c r="D4" s="28">
        <f>Затраты!D11</f>
        <v>2727680</v>
      </c>
      <c r="E4" s="28">
        <f>Затраты!E11</f>
        <v>2727680</v>
      </c>
      <c r="F4" s="28">
        <f>Затраты!F11</f>
        <v>2727680</v>
      </c>
      <c r="G4" s="28">
        <f>Затраты!G11</f>
        <v>2763680</v>
      </c>
      <c r="H4" s="28">
        <f>Затраты!H11</f>
        <v>2763680</v>
      </c>
      <c r="I4" s="28">
        <f>Затраты!I11</f>
        <v>2763680</v>
      </c>
      <c r="J4" s="28">
        <f>Затраты!J11</f>
        <v>2763680</v>
      </c>
      <c r="K4" s="28">
        <f>Затраты!K11</f>
        <v>2763680</v>
      </c>
      <c r="L4" s="28">
        <f>Затраты!L11</f>
        <v>2727680</v>
      </c>
      <c r="M4" s="28">
        <f>Затраты!M11</f>
        <v>2727680</v>
      </c>
      <c r="N4" s="28">
        <f>Затраты!N11</f>
        <v>2727680</v>
      </c>
      <c r="O4" s="28">
        <f>Затраты!O11</f>
        <v>2727680</v>
      </c>
      <c r="P4" s="28">
        <f>Затраты!P11</f>
        <v>2727680</v>
      </c>
      <c r="Q4" s="28">
        <f>Затраты!Q11</f>
        <v>2727680</v>
      </c>
      <c r="R4" s="28">
        <f>Затраты!R11</f>
        <v>2727680</v>
      </c>
      <c r="S4" s="28">
        <f>Затраты!S11</f>
        <v>2763680</v>
      </c>
      <c r="T4" s="28">
        <f>Затраты!T11</f>
        <v>2763680</v>
      </c>
      <c r="U4" s="28">
        <f>Затраты!U11</f>
        <v>2763680</v>
      </c>
      <c r="V4" s="28">
        <f>Затраты!V11</f>
        <v>2763680</v>
      </c>
      <c r="W4" s="28">
        <f>Затраты!W11</f>
        <v>2763680</v>
      </c>
      <c r="X4" s="28">
        <f>Затраты!X11</f>
        <v>2714180</v>
      </c>
      <c r="Y4" s="28">
        <f>Затраты!Y11</f>
        <v>2727680</v>
      </c>
    </row>
    <row r="5" spans="1:26" x14ac:dyDescent="0.35">
      <c r="A5" s="37" t="s">
        <v>20</v>
      </c>
      <c r="B5" s="28">
        <f>B3-B4</f>
        <v>2758549</v>
      </c>
      <c r="C5" s="28">
        <f t="shared" ref="C5:Y5" si="0">C3-C4</f>
        <v>3643520</v>
      </c>
      <c r="D5" s="28">
        <f t="shared" si="0"/>
        <v>3556230</v>
      </c>
      <c r="E5" s="28">
        <f t="shared" si="0"/>
        <v>2212630</v>
      </c>
      <c r="F5" s="28">
        <f t="shared" si="0"/>
        <v>1272840</v>
      </c>
      <c r="G5" s="28">
        <f t="shared" si="0"/>
        <v>1680030</v>
      </c>
      <c r="H5" s="28">
        <f t="shared" si="0"/>
        <v>1890030</v>
      </c>
      <c r="I5" s="28">
        <f t="shared" si="0"/>
        <v>2522820</v>
      </c>
      <c r="J5" s="28">
        <f t="shared" si="0"/>
        <v>2218120</v>
      </c>
      <c r="K5" s="28">
        <f t="shared" si="0"/>
        <v>2061050</v>
      </c>
      <c r="L5" s="28">
        <f t="shared" si="0"/>
        <v>2886220</v>
      </c>
      <c r="M5" s="28">
        <f t="shared" si="0"/>
        <v>3315120</v>
      </c>
      <c r="N5" s="28">
        <f t="shared" si="0"/>
        <v>4950820</v>
      </c>
      <c r="O5" s="28">
        <f t="shared" si="0"/>
        <v>4666920</v>
      </c>
      <c r="P5" s="28">
        <f t="shared" si="0"/>
        <v>4374120</v>
      </c>
      <c r="Q5" s="28">
        <f t="shared" si="0"/>
        <v>2279830</v>
      </c>
      <c r="R5" s="28">
        <f t="shared" si="0"/>
        <v>1272840</v>
      </c>
      <c r="S5" s="28">
        <f t="shared" si="0"/>
        <v>1680030</v>
      </c>
      <c r="T5" s="28">
        <f t="shared" si="0"/>
        <v>1855030</v>
      </c>
      <c r="U5" s="28">
        <f t="shared" si="0"/>
        <v>2522820</v>
      </c>
      <c r="V5" s="28">
        <f t="shared" si="0"/>
        <v>2218120</v>
      </c>
      <c r="W5" s="28">
        <f t="shared" si="0"/>
        <v>2050820</v>
      </c>
      <c r="X5" s="28">
        <f t="shared" si="0"/>
        <v>2899720</v>
      </c>
      <c r="Y5" s="28">
        <f t="shared" si="0"/>
        <v>3690720</v>
      </c>
    </row>
    <row r="6" spans="1:26" x14ac:dyDescent="0.35">
      <c r="A6" s="37" t="s">
        <v>109</v>
      </c>
      <c r="B6" s="28">
        <f>B3*0.06</f>
        <v>329173.74</v>
      </c>
      <c r="C6" s="28">
        <f t="shared" ref="C6:Y6" si="1">C3*0.06</f>
        <v>382272</v>
      </c>
      <c r="D6" s="28">
        <f t="shared" si="1"/>
        <v>377034.6</v>
      </c>
      <c r="E6" s="28">
        <f t="shared" si="1"/>
        <v>296418.59999999998</v>
      </c>
      <c r="F6" s="28">
        <f t="shared" si="1"/>
        <v>240031.19999999998</v>
      </c>
      <c r="G6" s="28">
        <f t="shared" si="1"/>
        <v>266622.59999999998</v>
      </c>
      <c r="H6" s="28">
        <f t="shared" si="1"/>
        <v>279222.59999999998</v>
      </c>
      <c r="I6" s="28">
        <f t="shared" si="1"/>
        <v>317190</v>
      </c>
      <c r="J6" s="28">
        <f t="shared" si="1"/>
        <v>298908</v>
      </c>
      <c r="K6" s="28">
        <f t="shared" si="1"/>
        <v>289483.8</v>
      </c>
      <c r="L6" s="28">
        <f t="shared" si="1"/>
        <v>336834</v>
      </c>
      <c r="M6" s="28">
        <f t="shared" si="1"/>
        <v>362568</v>
      </c>
      <c r="N6" s="28">
        <f t="shared" si="1"/>
        <v>460710</v>
      </c>
      <c r="O6" s="28">
        <f t="shared" si="1"/>
        <v>443676</v>
      </c>
      <c r="P6" s="28">
        <f t="shared" si="1"/>
        <v>426108</v>
      </c>
      <c r="Q6" s="28">
        <f t="shared" si="1"/>
        <v>300450.59999999998</v>
      </c>
      <c r="R6" s="28">
        <f t="shared" si="1"/>
        <v>240031.19999999998</v>
      </c>
      <c r="S6" s="28">
        <f t="shared" si="1"/>
        <v>266622.59999999998</v>
      </c>
      <c r="T6" s="28">
        <f t="shared" si="1"/>
        <v>277122.59999999998</v>
      </c>
      <c r="U6" s="28">
        <f t="shared" si="1"/>
        <v>317190</v>
      </c>
      <c r="V6" s="28">
        <f t="shared" si="1"/>
        <v>298908</v>
      </c>
      <c r="W6" s="28">
        <f t="shared" si="1"/>
        <v>288870</v>
      </c>
      <c r="X6" s="28">
        <f t="shared" si="1"/>
        <v>336834</v>
      </c>
      <c r="Y6" s="28">
        <f t="shared" si="1"/>
        <v>385104</v>
      </c>
    </row>
    <row r="7" spans="1:26" x14ac:dyDescent="0.35">
      <c r="A7" s="37" t="s">
        <v>19</v>
      </c>
      <c r="B7" s="28">
        <f t="shared" ref="B7:Y7" si="2">B5-B6</f>
        <v>2429375.2599999998</v>
      </c>
      <c r="C7" s="28">
        <f t="shared" si="2"/>
        <v>3261248</v>
      </c>
      <c r="D7" s="28">
        <f t="shared" si="2"/>
        <v>3179195.4</v>
      </c>
      <c r="E7" s="28">
        <f t="shared" si="2"/>
        <v>1916211.4</v>
      </c>
      <c r="F7" s="28">
        <f t="shared" si="2"/>
        <v>1032808.8</v>
      </c>
      <c r="G7" s="28">
        <f t="shared" si="2"/>
        <v>1413407.4</v>
      </c>
      <c r="H7" s="28">
        <f t="shared" si="2"/>
        <v>1610807.4</v>
      </c>
      <c r="I7" s="28">
        <f t="shared" si="2"/>
        <v>2205630</v>
      </c>
      <c r="J7" s="28">
        <f t="shared" si="2"/>
        <v>1919212</v>
      </c>
      <c r="K7" s="28">
        <f t="shared" si="2"/>
        <v>1771566.2</v>
      </c>
      <c r="L7" s="28">
        <f t="shared" si="2"/>
        <v>2549386</v>
      </c>
      <c r="M7" s="28">
        <f t="shared" si="2"/>
        <v>2952552</v>
      </c>
      <c r="N7" s="28">
        <f t="shared" si="2"/>
        <v>4490110</v>
      </c>
      <c r="O7" s="28">
        <f t="shared" si="2"/>
        <v>4223244</v>
      </c>
      <c r="P7" s="28">
        <f t="shared" si="2"/>
        <v>3948012</v>
      </c>
      <c r="Q7" s="28">
        <f t="shared" si="2"/>
        <v>1979379.4</v>
      </c>
      <c r="R7" s="28">
        <f t="shared" si="2"/>
        <v>1032808.8</v>
      </c>
      <c r="S7" s="28">
        <f t="shared" si="2"/>
        <v>1413407.4</v>
      </c>
      <c r="T7" s="28">
        <f t="shared" si="2"/>
        <v>1577907.4</v>
      </c>
      <c r="U7" s="28">
        <f t="shared" si="2"/>
        <v>2205630</v>
      </c>
      <c r="V7" s="28">
        <f t="shared" si="2"/>
        <v>1919212</v>
      </c>
      <c r="W7" s="28">
        <f t="shared" si="2"/>
        <v>1761950</v>
      </c>
      <c r="X7" s="28">
        <f t="shared" si="2"/>
        <v>2562886</v>
      </c>
      <c r="Y7" s="28">
        <f t="shared" si="2"/>
        <v>3305616</v>
      </c>
    </row>
    <row r="8" spans="1:26" x14ac:dyDescent="0.35">
      <c r="A8" s="38" t="s">
        <v>18</v>
      </c>
      <c r="B8" s="39">
        <f>B7</f>
        <v>2429375.2599999998</v>
      </c>
      <c r="C8" s="39">
        <f t="shared" ref="C8:Y8" si="3">B8+C7</f>
        <v>5690623.2599999998</v>
      </c>
      <c r="D8" s="39">
        <f t="shared" si="3"/>
        <v>8869818.6600000001</v>
      </c>
      <c r="E8" s="39">
        <f t="shared" si="3"/>
        <v>10786030.060000001</v>
      </c>
      <c r="F8" s="39">
        <f t="shared" si="3"/>
        <v>11818838.860000001</v>
      </c>
      <c r="G8" s="39">
        <f t="shared" si="3"/>
        <v>13232246.260000002</v>
      </c>
      <c r="H8" s="39">
        <f t="shared" si="3"/>
        <v>14843053.660000002</v>
      </c>
      <c r="I8" s="39">
        <f t="shared" si="3"/>
        <v>17048683.660000004</v>
      </c>
      <c r="J8" s="39">
        <f t="shared" si="3"/>
        <v>18967895.660000004</v>
      </c>
      <c r="K8" s="39">
        <f t="shared" si="3"/>
        <v>20739461.860000003</v>
      </c>
      <c r="L8" s="39">
        <f t="shared" si="3"/>
        <v>23288847.860000003</v>
      </c>
      <c r="M8" s="39">
        <f t="shared" si="3"/>
        <v>26241399.860000003</v>
      </c>
      <c r="N8" s="39">
        <f t="shared" si="3"/>
        <v>30731509.860000003</v>
      </c>
      <c r="O8" s="39">
        <f t="shared" si="3"/>
        <v>34954753.859999999</v>
      </c>
      <c r="P8" s="39">
        <f t="shared" si="3"/>
        <v>38902765.859999999</v>
      </c>
      <c r="Q8" s="39">
        <f t="shared" si="3"/>
        <v>40882145.259999998</v>
      </c>
      <c r="R8" s="39">
        <f t="shared" si="3"/>
        <v>41914954.059999995</v>
      </c>
      <c r="S8" s="39">
        <f t="shared" si="3"/>
        <v>43328361.459999993</v>
      </c>
      <c r="T8" s="39">
        <f t="shared" si="3"/>
        <v>44906268.859999992</v>
      </c>
      <c r="U8" s="39">
        <f t="shared" si="3"/>
        <v>47111898.859999992</v>
      </c>
      <c r="V8" s="39">
        <f t="shared" si="3"/>
        <v>49031110.859999992</v>
      </c>
      <c r="W8" s="39">
        <f t="shared" si="3"/>
        <v>50793060.859999992</v>
      </c>
      <c r="X8" s="39">
        <f t="shared" si="3"/>
        <v>53355946.859999992</v>
      </c>
      <c r="Y8" s="39">
        <f t="shared" si="3"/>
        <v>56661562.859999992</v>
      </c>
    </row>
    <row r="9" spans="1:26" x14ac:dyDescent="0.35">
      <c r="A9" s="37" t="s">
        <v>17</v>
      </c>
      <c r="B9" s="28">
        <f>-Инвестиции!C11+B7</f>
        <v>-37194624.740000002</v>
      </c>
      <c r="C9" s="28">
        <f t="shared" ref="C9:Y9" si="4">B9+C7</f>
        <v>-33933376.740000002</v>
      </c>
      <c r="D9" s="28">
        <f t="shared" si="4"/>
        <v>-30754181.340000004</v>
      </c>
      <c r="E9" s="28">
        <f t="shared" si="4"/>
        <v>-28837969.940000005</v>
      </c>
      <c r="F9" s="28">
        <f t="shared" si="4"/>
        <v>-27805161.140000004</v>
      </c>
      <c r="G9" s="28">
        <f t="shared" si="4"/>
        <v>-26391753.740000006</v>
      </c>
      <c r="H9" s="28">
        <f t="shared" si="4"/>
        <v>-24780946.340000007</v>
      </c>
      <c r="I9" s="28">
        <f t="shared" si="4"/>
        <v>-22575316.340000007</v>
      </c>
      <c r="J9" s="28">
        <f t="shared" si="4"/>
        <v>-20656104.340000007</v>
      </c>
      <c r="K9" s="28">
        <f t="shared" si="4"/>
        <v>-18884538.140000008</v>
      </c>
      <c r="L9" s="28">
        <f t="shared" si="4"/>
        <v>-16335152.140000008</v>
      </c>
      <c r="M9" s="28">
        <f t="shared" si="4"/>
        <v>-13382600.140000008</v>
      </c>
      <c r="N9" s="28">
        <f t="shared" si="4"/>
        <v>-8892490.140000008</v>
      </c>
      <c r="O9" s="28">
        <f t="shared" si="4"/>
        <v>-4669246.140000008</v>
      </c>
      <c r="P9" s="28">
        <f t="shared" si="4"/>
        <v>-721234.14000000805</v>
      </c>
      <c r="Q9" s="28">
        <f t="shared" si="4"/>
        <v>1258145.2599999919</v>
      </c>
      <c r="R9" s="28">
        <f t="shared" si="4"/>
        <v>2290954.0599999921</v>
      </c>
      <c r="S9" s="28">
        <f t="shared" si="4"/>
        <v>3704361.459999992</v>
      </c>
      <c r="T9" s="28">
        <f t="shared" si="4"/>
        <v>5282268.859999992</v>
      </c>
      <c r="U9" s="28">
        <f t="shared" si="4"/>
        <v>7487898.859999992</v>
      </c>
      <c r="V9" s="28">
        <f t="shared" si="4"/>
        <v>9407110.859999992</v>
      </c>
      <c r="W9" s="28">
        <f t="shared" si="4"/>
        <v>11169060.859999992</v>
      </c>
      <c r="X9" s="28">
        <f t="shared" si="4"/>
        <v>13731946.859999992</v>
      </c>
      <c r="Y9" s="28">
        <f t="shared" si="4"/>
        <v>17037562.859999992</v>
      </c>
    </row>
    <row r="10" spans="1:26" x14ac:dyDescent="0.35">
      <c r="A10" s="37" t="s">
        <v>46</v>
      </c>
      <c r="B10" s="28">
        <f t="shared" ref="B10:Y10" si="5">IF(B9&gt;0,IF(A9&lt;0,B2,),)</f>
        <v>0</v>
      </c>
      <c r="C10" s="28">
        <f t="shared" si="5"/>
        <v>0</v>
      </c>
      <c r="D10" s="28">
        <f t="shared" si="5"/>
        <v>0</v>
      </c>
      <c r="E10" s="28">
        <f t="shared" si="5"/>
        <v>0</v>
      </c>
      <c r="F10" s="28">
        <f t="shared" si="5"/>
        <v>0</v>
      </c>
      <c r="G10" s="28">
        <f t="shared" si="5"/>
        <v>0</v>
      </c>
      <c r="H10" s="28">
        <f t="shared" si="5"/>
        <v>0</v>
      </c>
      <c r="I10" s="28">
        <f t="shared" si="5"/>
        <v>0</v>
      </c>
      <c r="J10" s="28">
        <f t="shared" si="5"/>
        <v>0</v>
      </c>
      <c r="K10" s="28">
        <f t="shared" si="5"/>
        <v>0</v>
      </c>
      <c r="L10" s="28">
        <f t="shared" si="5"/>
        <v>0</v>
      </c>
      <c r="M10" s="28">
        <f t="shared" si="5"/>
        <v>0</v>
      </c>
      <c r="N10" s="28">
        <f t="shared" si="5"/>
        <v>0</v>
      </c>
      <c r="O10" s="28">
        <f t="shared" si="5"/>
        <v>0</v>
      </c>
      <c r="P10" s="28">
        <f t="shared" si="5"/>
        <v>0</v>
      </c>
      <c r="Q10" s="28" t="str">
        <f t="shared" si="5"/>
        <v>Октябрь</v>
      </c>
      <c r="R10" s="28">
        <f t="shared" si="5"/>
        <v>0</v>
      </c>
      <c r="S10" s="28">
        <f t="shared" si="5"/>
        <v>0</v>
      </c>
      <c r="T10" s="28">
        <f t="shared" si="5"/>
        <v>0</v>
      </c>
      <c r="U10" s="28">
        <f t="shared" si="5"/>
        <v>0</v>
      </c>
      <c r="V10" s="28">
        <f t="shared" si="5"/>
        <v>0</v>
      </c>
      <c r="W10" s="28">
        <f t="shared" si="5"/>
        <v>0</v>
      </c>
      <c r="X10" s="28">
        <f t="shared" si="5"/>
        <v>0</v>
      </c>
      <c r="Y10" s="28">
        <f t="shared" si="5"/>
        <v>0</v>
      </c>
    </row>
    <row r="11" spans="1:26" x14ac:dyDescent="0.35">
      <c r="B11" s="28">
        <f>IF(B12&gt;Инвестиции!$C$11,IF(A12&lt;Инвестиции!$C$11,B2,),)</f>
        <v>0</v>
      </c>
      <c r="C11" s="28">
        <f>IF(C12&gt;Инвестиции!$C$11,IF(B12&lt;Инвестиции!$C$11,C2,),)</f>
        <v>0</v>
      </c>
      <c r="D11" s="28">
        <f>IF(D12&gt;Инвестиции!$C$11,IF(C12&lt;Инвестиции!$C$11,D2,),)</f>
        <v>0</v>
      </c>
      <c r="E11" s="28">
        <f>IF(E12&gt;Инвестиции!$C$11,IF(D12&lt;Инвестиции!$C$11,E2,),)</f>
        <v>0</v>
      </c>
      <c r="F11" s="28">
        <f>IF(F12&gt;Инвестиции!$C$11,IF(E12&lt;Инвестиции!$C$11,F2,),)</f>
        <v>0</v>
      </c>
      <c r="G11" s="28">
        <f>IF(G12&gt;Инвестиции!$C$11,IF(F12&lt;Инвестиции!$C$11,G2,),)</f>
        <v>0</v>
      </c>
      <c r="H11" s="28">
        <f>IF(H12&gt;Инвестиции!$C$11,IF(G12&lt;Инвестиции!$C$11,H2,),)</f>
        <v>0</v>
      </c>
      <c r="I11" s="28">
        <f>IF(I12&gt;Инвестиции!$C$11,IF(H12&lt;Инвестиции!$C$11,I2,),)</f>
        <v>0</v>
      </c>
      <c r="J11" s="28">
        <f>IF(J12&gt;Инвестиции!$C$11,IF(I12&lt;Инвестиции!$C$11,J2,),)</f>
        <v>0</v>
      </c>
      <c r="K11" s="28">
        <f>IF(K12&gt;Инвестиции!$C$11,IF(J12&lt;Инвестиции!$C$11,K2,),)</f>
        <v>0</v>
      </c>
      <c r="L11" s="28">
        <f>IF(L12&gt;Инвестиции!$C$11,IF(K12&lt;Инвестиции!$C$11,L2,),)</f>
        <v>0</v>
      </c>
      <c r="M11" s="28">
        <f>IF(M12&gt;Инвестиции!$C$11,IF(L12&lt;Инвестиции!$C$11,M2,),)</f>
        <v>0</v>
      </c>
      <c r="N11" s="28">
        <f>IF(N12&gt;Инвестиции!$C$11,IF(M12&lt;Инвестиции!$C$11,N2,),)</f>
        <v>0</v>
      </c>
      <c r="O11" s="28">
        <f>IF(O12&gt;Инвестиции!$C$11,IF(N12&lt;Инвестиции!$C$11,O2,),)</f>
        <v>0</v>
      </c>
      <c r="P11" s="28">
        <f>IF(P12&gt;Инвестиции!$C$11,IF(O12&lt;Инвестиции!$C$11,P2,),)</f>
        <v>0</v>
      </c>
      <c r="Q11" s="28">
        <f>IF(Q12&gt;Инвестиции!$C$11,IF(P12&lt;Инвестиции!$C$11,Q2,),)</f>
        <v>0</v>
      </c>
      <c r="R11" s="28">
        <f>IF(R12&gt;Инвестиции!$C$11,IF(Q12&lt;Инвестиции!$C$11,R2,),)</f>
        <v>0</v>
      </c>
      <c r="S11" s="28" t="str">
        <f>IF(S12&gt;Инвестиции!$C$11,IF(R12&lt;Инвестиции!$C$11,S2,),)</f>
        <v>Декабрь</v>
      </c>
      <c r="T11" s="28">
        <f>IF(T12&gt;Инвестиции!$C$11,IF(S12&lt;Инвестиции!$C$11,T2,),)</f>
        <v>0</v>
      </c>
      <c r="U11" s="28">
        <f>IF(U12&gt;Инвестиции!$C$11,IF(T12&lt;Инвестиции!$C$11,U2,),)</f>
        <v>0</v>
      </c>
      <c r="V11" s="28">
        <f>IF(V12&gt;Инвестиции!$C$11,IF(U12&lt;Инвестиции!$C$11,V2,),)</f>
        <v>0</v>
      </c>
      <c r="W11" s="28">
        <f>IF(W12&gt;Инвестиции!$C$11,IF(V12&lt;Инвестиции!$C$11,W2,),)</f>
        <v>0</v>
      </c>
      <c r="X11" s="28">
        <f>IF(X12&gt;Инвестиции!$C$11,IF(W12&lt;Инвестиции!$C$11,X2,),)</f>
        <v>0</v>
      </c>
      <c r="Y11" s="28">
        <f>IF(Y12&gt;Инвестиции!$C$11,IF(X12&lt;Инвестиции!$C$11,Y2,),)</f>
        <v>0</v>
      </c>
    </row>
    <row r="12" spans="1:26" hidden="1" x14ac:dyDescent="0.35">
      <c r="B12" s="8">
        <f>B7/(1+0.01*'Экономические показатели'!$C$3)</f>
        <v>2076389.111111111</v>
      </c>
      <c r="C12" s="8">
        <f>C7/(1+0.01*'Экономические показатели'!$C$3/12)^MATCH(C2,$B$2:$Y$2,0)+B12</f>
        <v>5247162.1841674913</v>
      </c>
      <c r="D12" s="8">
        <f>D7/(1+0.01*'Экономические показатели'!$C$3/12)^MATCH(D2,$B$2:$Y$2,0)+C12</f>
        <v>8294981.5542219095</v>
      </c>
      <c r="E12" s="8">
        <f>E7/(1+0.01*'Экономические показатели'!$C$3/12)^MATCH(E2,$B$2:$Y$2,0)+D12</f>
        <v>10106347.050436528</v>
      </c>
      <c r="F12" s="8">
        <f>F7/(1+0.01*'Экономические показатели'!$C$3/12)^MATCH(F2,$B$2:$Y$2,0)+E12</f>
        <v>11069007.808871211</v>
      </c>
      <c r="G12" s="8">
        <f>G7/(1+0.01*'Экономические показатели'!$C$3/12)^MATCH(G2,$B$2:$Y$2,0)+F12</f>
        <v>12368014.438861934</v>
      </c>
      <c r="H12" s="8">
        <f>H7/(1+0.01*'Экономические показатели'!$C$3/12)^MATCH(H2,$B$2:$Y$2,0)+G12</f>
        <v>13827763.789731128</v>
      </c>
      <c r="I12" s="8">
        <f>I7/(1+0.01*'Экономические показатели'!$C$3/12)^MATCH(I2,$B$2:$Y$2,0)+H12</f>
        <v>15798633.898240229</v>
      </c>
      <c r="J12" s="8">
        <f>J7/(1+0.01*'Экономические показатели'!$C$3/12)^MATCH(J2,$B$2:$Y$2,0)+I12</f>
        <v>17489615.805160712</v>
      </c>
      <c r="K12" s="8">
        <f>K7/(1+0.01*'Экономические показатели'!$C$3/12)^MATCH(K2,$B$2:$Y$2,0)+J12</f>
        <v>19028705.97337199</v>
      </c>
      <c r="L12" s="8">
        <f>L7/(1+0.01*'Экономические показатели'!$C$3/12)^MATCH(L2,$B$2:$Y$2,0)+K12</f>
        <v>21212606.950119372</v>
      </c>
      <c r="M12" s="8">
        <f>M7/(1+0.01*'Экономические показатели'!$C$3/12)^MATCH(M2,$B$2:$Y$2,0)+L12</f>
        <v>23706544.469548721</v>
      </c>
      <c r="N12" s="8">
        <f>N7/(1+0.01*'Экономические показатели'!$C$3/12)^MATCH(N2,$B$2:$Y$2,0)+M12</f>
        <v>28133933.130189642</v>
      </c>
      <c r="O12" s="8">
        <f>O7/(1+0.01*'Экономические показатели'!$C$3/12)^MATCH(O2,$B$2:$Y$2,0)+N12</f>
        <v>32240014.101691019</v>
      </c>
      <c r="P12" s="8">
        <f>P7/(1+0.01*'Экономические показатели'!$C$3/12)^MATCH(P2,$B$2:$Y$2,0)+O12</f>
        <v>36024879.746252306</v>
      </c>
      <c r="Q12" s="8">
        <f>Q7/(1+0.01*'Экономические показатели'!$C$3/12)^MATCH(Q2,$B$2:$Y$2,0)+P12</f>
        <v>37895956.992258668</v>
      </c>
      <c r="R12" s="8">
        <f>R7/(1+0.01*'Экономические показатели'!$C$3/12)^MATCH(R2,$B$2:$Y$2,0)+Q12</f>
        <v>38858617.750693351</v>
      </c>
      <c r="S12" s="8">
        <f>S7/(1+0.01*'Экономические показатели'!$C$3/12)^MATCH(S2,$B$2:$Y$2,0)+R12</f>
        <v>40157624.38068407</v>
      </c>
      <c r="T12" s="8">
        <f>T7/(1+0.01*'Экономические показатели'!$C$3/12)^MATCH(T2,$B$2:$Y$2,0)+S12</f>
        <v>41587559.022703782</v>
      </c>
      <c r="U12" s="8">
        <f>U7/(1+0.01*'Экономические показатели'!$C$3/12)^MATCH(U2,$B$2:$Y$2,0)+T12</f>
        <v>43558429.131212883</v>
      </c>
      <c r="V12" s="8">
        <f>V7/(1+0.01*'Экономические показатели'!$C$3/12)^MATCH(V2,$B$2:$Y$2,0)+U12</f>
        <v>45249411.038133368</v>
      </c>
      <c r="W12" s="8">
        <f>W7/(1+0.01*'Экономические показатели'!$C$3/12)^MATCH(W2,$B$2:$Y$2,0)+V12</f>
        <v>46780146.904441871</v>
      </c>
      <c r="X12" s="8">
        <f>X7/(1+0.01*'Экономические показатели'!$C$3/12)^MATCH(X2,$B$2:$Y$2,0)+W12</f>
        <v>48975612.494467154</v>
      </c>
      <c r="Y12" s="8">
        <f>Y7/(1+0.01*'Экономические показатели'!$C$3/12)^MATCH(Y2,$B$2:$Y$2,0)+X12</f>
        <v>51767773.231086172</v>
      </c>
    </row>
    <row r="13" spans="1:26" hidden="1" x14ac:dyDescent="0.35">
      <c r="B13" s="8">
        <f>(B3-B4)/B4</f>
        <v>1.0113169433364617</v>
      </c>
      <c r="C13" s="8">
        <f t="shared" ref="C13:Y13" si="6">(C3-C4)/C4</f>
        <v>1.3357578601595494</v>
      </c>
      <c r="D13" s="8">
        <f t="shared" si="6"/>
        <v>1.3037563057250117</v>
      </c>
      <c r="E13" s="8">
        <f t="shared" si="6"/>
        <v>0.81117653097137499</v>
      </c>
      <c r="F13" s="8">
        <f t="shared" si="6"/>
        <v>0.46663831534490852</v>
      </c>
      <c r="G13" s="8">
        <f t="shared" si="6"/>
        <v>0.60789599374746717</v>
      </c>
      <c r="H13" s="8">
        <f t="shared" si="6"/>
        <v>0.68388163607943031</v>
      </c>
      <c r="I13" s="8">
        <f t="shared" si="6"/>
        <v>0.91284808660915884</v>
      </c>
      <c r="J13" s="8">
        <f t="shared" si="6"/>
        <v>0.80259653794940078</v>
      </c>
      <c r="K13" s="8">
        <f t="shared" si="6"/>
        <v>0.7457628958490129</v>
      </c>
      <c r="L13" s="8">
        <f t="shared" si="6"/>
        <v>1.0581226536837165</v>
      </c>
      <c r="M13" s="8">
        <f t="shared" si="6"/>
        <v>1.2153625058657906</v>
      </c>
      <c r="N13" s="8">
        <f t="shared" si="6"/>
        <v>1.8150296222430784</v>
      </c>
      <c r="O13" s="8">
        <f t="shared" si="6"/>
        <v>1.7109484983575787</v>
      </c>
      <c r="P13" s="8">
        <f t="shared" si="6"/>
        <v>1.603604528390427</v>
      </c>
      <c r="Q13" s="8">
        <f t="shared" si="6"/>
        <v>0.83581285194744248</v>
      </c>
      <c r="R13" s="8">
        <f t="shared" si="6"/>
        <v>0.46663831534490852</v>
      </c>
      <c r="S13" s="8">
        <f t="shared" si="6"/>
        <v>0.60789599374746717</v>
      </c>
      <c r="T13" s="8">
        <f t="shared" si="6"/>
        <v>0.67121736235743645</v>
      </c>
      <c r="U13" s="8">
        <f t="shared" si="6"/>
        <v>0.91284808660915884</v>
      </c>
      <c r="V13" s="8">
        <f t="shared" si="6"/>
        <v>0.80259653794940078</v>
      </c>
      <c r="W13" s="8">
        <f t="shared" si="6"/>
        <v>0.7420613095582701</v>
      </c>
      <c r="X13" s="8">
        <f t="shared" si="6"/>
        <v>1.0683595045280712</v>
      </c>
      <c r="Y13" s="8">
        <f t="shared" si="6"/>
        <v>1.3530619427498827</v>
      </c>
      <c r="Z13" s="53">
        <f>AVERAGE(B13:Y13)</f>
        <v>0.98104961746268338</v>
      </c>
    </row>
    <row r="15" spans="1:26" x14ac:dyDescent="0.35"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33" spans="2:25" x14ac:dyDescent="0.35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</row>
  </sheetData>
  <sheetProtection insertColumns="0" insertRows="0" deleteColumns="0" deleteRows="0"/>
  <mergeCells count="2">
    <mergeCell ref="A1:A2"/>
    <mergeCell ref="B1:Y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B2:G66"/>
  <sheetViews>
    <sheetView showGridLines="0" tabSelected="1" workbookViewId="0">
      <selection activeCell="C4" sqref="C4"/>
    </sheetView>
  </sheetViews>
  <sheetFormatPr defaultRowHeight="18" x14ac:dyDescent="0.35"/>
  <cols>
    <col min="2" max="2" width="60" style="8" bestFit="1" customWidth="1"/>
    <col min="3" max="3" width="28.44140625" style="8" customWidth="1"/>
    <col min="4" max="4" width="23" customWidth="1"/>
    <col min="6" max="6" width="0" hidden="1" customWidth="1"/>
  </cols>
  <sheetData>
    <row r="2" spans="2:7" x14ac:dyDescent="0.3">
      <c r="B2" s="40" t="s">
        <v>24</v>
      </c>
      <c r="C2" s="41" t="s">
        <v>29</v>
      </c>
      <c r="F2" s="2"/>
    </row>
    <row r="3" spans="2:7" x14ac:dyDescent="0.3">
      <c r="B3" s="42" t="s">
        <v>25</v>
      </c>
      <c r="C3" s="50">
        <v>17</v>
      </c>
      <c r="F3" s="3"/>
    </row>
    <row r="4" spans="2:7" x14ac:dyDescent="0.3">
      <c r="B4" s="42" t="s">
        <v>26</v>
      </c>
      <c r="C4" s="43">
        <f>IF('Расчет окупаемости'!Y12&gt;ABS('Расчет окупаемости'!B9),MATCH("месяц",'Расчет окупаемости'!B11:Y11,1),"более 24 месяцев")</f>
        <v>18</v>
      </c>
      <c r="F4" s="4"/>
    </row>
    <row r="5" spans="2:7" x14ac:dyDescent="0.3">
      <c r="B5" s="42" t="s">
        <v>198</v>
      </c>
      <c r="C5" s="33">
        <f>C11+C20-Инвестиции!C11</f>
        <v>5026888.1848199368</v>
      </c>
      <c r="F5" s="5">
        <f>(SUM('Расчет окупаемости'!B7:M7)/1.1709)+(SUM('Расчет окупаемости'!N7:Y7)/(1.1709)^2)</f>
        <v>44599499.907716721</v>
      </c>
    </row>
    <row r="6" spans="2:7" x14ac:dyDescent="0.3">
      <c r="B6" s="42" t="s">
        <v>27</v>
      </c>
      <c r="C6" s="44">
        <f>C5/Инвестиции!C11+1</f>
        <v>1.126864733111749</v>
      </c>
    </row>
    <row r="7" spans="2:7" x14ac:dyDescent="0.3">
      <c r="B7" s="42" t="s">
        <v>28</v>
      </c>
      <c r="C7" s="44">
        <f>IRR(C22:C24)*100</f>
        <v>26.780925876631613</v>
      </c>
    </row>
    <row r="8" spans="2:7" x14ac:dyDescent="0.3">
      <c r="B8" s="42" t="s">
        <v>112</v>
      </c>
      <c r="C8" s="54">
        <f>'Расчет окупаемости'!Z13</f>
        <v>0.98104961746268338</v>
      </c>
    </row>
    <row r="9" spans="2:7" x14ac:dyDescent="0.35">
      <c r="B9" s="45"/>
      <c r="C9" s="46"/>
    </row>
    <row r="10" spans="2:7" x14ac:dyDescent="0.35">
      <c r="B10" s="45"/>
      <c r="C10" s="46"/>
    </row>
    <row r="11" spans="2:7" x14ac:dyDescent="0.3">
      <c r="B11" s="47" t="s">
        <v>47</v>
      </c>
      <c r="C11" s="39">
        <f>(SUM('Расчет окупаемости'!B7:M7))/(1+C3*0.01)</f>
        <v>22428546.888888892</v>
      </c>
      <c r="D11" s="1"/>
      <c r="G11" s="6"/>
    </row>
    <row r="12" spans="2:7" hidden="1" x14ac:dyDescent="0.3">
      <c r="B12" s="47" t="s">
        <v>48</v>
      </c>
      <c r="C12" s="39">
        <f>('Расчет окупаемости'!N7/(1+0.1709)^2)</f>
        <v>3275045.7308085868</v>
      </c>
      <c r="E12">
        <v>1170566.1184863115</v>
      </c>
    </row>
    <row r="13" spans="2:7" hidden="1" x14ac:dyDescent="0.3">
      <c r="B13" s="47" t="s">
        <v>49</v>
      </c>
      <c r="C13" s="39">
        <f>('Расчет окупаемости'!O7/(1+0.1709)^2)</f>
        <v>3080396.0776825021</v>
      </c>
    </row>
    <row r="14" spans="2:7" hidden="1" x14ac:dyDescent="0.3">
      <c r="B14" s="47" t="s">
        <v>50</v>
      </c>
      <c r="C14" s="39">
        <f>('Расчет окупаемости'!P7/(1+0.1709)^2)</f>
        <v>2879644.3396222079</v>
      </c>
    </row>
    <row r="15" spans="2:7" hidden="1" x14ac:dyDescent="0.3">
      <c r="B15" s="47" t="s">
        <v>51</v>
      </c>
      <c r="C15" s="39">
        <f>('Расчет окупаемости'!Q7/(1+0.1709)^2)</f>
        <v>1443741.4793001646</v>
      </c>
    </row>
    <row r="16" spans="2:7" hidden="1" x14ac:dyDescent="0.3">
      <c r="B16" s="47" t="s">
        <v>52</v>
      </c>
      <c r="C16" s="39">
        <f>('Расчет окупаемости'!R7/(1+0.1709)^2)</f>
        <v>753321.42223276047</v>
      </c>
    </row>
    <row r="17" spans="2:4" hidden="1" x14ac:dyDescent="0.3">
      <c r="B17" s="47" t="s">
        <v>53</v>
      </c>
      <c r="C17" s="39">
        <f>('Расчет окупаемости'!S7/(1+0.1709)^2)</f>
        <v>1030926.6078700221</v>
      </c>
    </row>
    <row r="18" spans="2:4" hidden="1" x14ac:dyDescent="0.3">
      <c r="B18" s="47" t="s">
        <v>54</v>
      </c>
      <c r="C18" s="39">
        <f>('Расчет окупаемости'!T7/(1+0.1709)^2)</f>
        <v>1150911.4239921242</v>
      </c>
    </row>
    <row r="19" spans="2:4" hidden="1" x14ac:dyDescent="0.3">
      <c r="B19" s="47" t="s">
        <v>55</v>
      </c>
      <c r="C19" s="39">
        <f>('Расчет окупаемости'!U7/(1+0.1709)^2)</f>
        <v>1608766.6260388596</v>
      </c>
      <c r="D19" t="s">
        <v>56</v>
      </c>
    </row>
    <row r="20" spans="2:4" x14ac:dyDescent="0.3">
      <c r="B20" s="47" t="s">
        <v>57</v>
      </c>
      <c r="C20" s="39">
        <f>(SUM('Расчет окупаемости'!N7:Y7)/((1+0.01*C3)*(1+0.01*C3)))</f>
        <v>22222341.295931041</v>
      </c>
    </row>
    <row r="21" spans="2:4" x14ac:dyDescent="0.35">
      <c r="B21" s="45"/>
      <c r="C21" s="48"/>
    </row>
    <row r="22" spans="2:4" hidden="1" x14ac:dyDescent="0.35">
      <c r="B22" s="45"/>
      <c r="C22" s="48">
        <f>-'Титульный лист'!I7</f>
        <v>-39624000</v>
      </c>
    </row>
    <row r="23" spans="2:4" x14ac:dyDescent="0.35">
      <c r="B23" s="47" t="s">
        <v>58</v>
      </c>
      <c r="C23" s="28">
        <f>SUM('Расчет окупаемости'!B7:M7)</f>
        <v>26241399.860000003</v>
      </c>
    </row>
    <row r="24" spans="2:4" x14ac:dyDescent="0.35">
      <c r="B24" s="47" t="s">
        <v>59</v>
      </c>
      <c r="C24" s="28">
        <f>SUM('Расчет окупаемости'!N7:Y7)</f>
        <v>30420163</v>
      </c>
    </row>
    <row r="27" spans="2:4" x14ac:dyDescent="0.35">
      <c r="B27" s="115">
        <v>1</v>
      </c>
    </row>
    <row r="66" spans="2:4" x14ac:dyDescent="0.35">
      <c r="B66" s="25"/>
      <c r="C66" s="25"/>
      <c r="D66" s="8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Титульный лист</vt:lpstr>
      <vt:lpstr>Оборудование</vt:lpstr>
      <vt:lpstr>ФОТ</vt:lpstr>
      <vt:lpstr>Инвестиции</vt:lpstr>
      <vt:lpstr>Продажи</vt:lpstr>
      <vt:lpstr>К</vt:lpstr>
      <vt:lpstr>Затраты</vt:lpstr>
      <vt:lpstr>Расчет окупаемости</vt:lpstr>
      <vt:lpstr>Экономические показатели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BeBoss</dc:creator>
  <cp:lastModifiedBy>ivan.kaygorodov.2000@mail.ru</cp:lastModifiedBy>
  <dcterms:created xsi:type="dcterms:W3CDTF">2018-05-28T14:28:27Z</dcterms:created>
  <dcterms:modified xsi:type="dcterms:W3CDTF">2023-10-24T14:33:30Z</dcterms:modified>
</cp:coreProperties>
</file>