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ifckz-my.sharepoint.com/personal/g_zhandarbekov_aifc_kz/Documents/Personal/ВБ/"/>
    </mc:Choice>
  </mc:AlternateContent>
  <xr:revisionPtr revIDLastSave="986" documentId="13_ncr:1_{9C567B9F-694D-B54E-B908-A9E88595BC57}" xr6:coauthVersionLast="47" xr6:coauthVersionMax="47" xr10:uidLastSave="{B6A00828-3083-4B0E-91CB-10BBE31AB47B}"/>
  <bookViews>
    <workbookView xWindow="-108" yWindow="-108" windowWidth="23256" windowHeight="12576" xr2:uid="{00000000-000D-0000-FFFF-FFFF00000000}"/>
  </bookViews>
  <sheets>
    <sheet name="Финмодель WildBerries" sheetId="1" r:id="rId1"/>
    <sheet name="Т1" sheetId="2" r:id="rId2"/>
    <sheet name="Т4" sheetId="3" r:id="rId3"/>
    <sheet name="Т5" sheetId="4" r:id="rId4"/>
    <sheet name="Т6" sheetId="5" r:id="rId5"/>
    <sheet name="Т7" sheetId="6" r:id="rId6"/>
    <sheet name="Т8" sheetId="7" r:id="rId7"/>
    <sheet name="Т9" sheetId="8" r:id="rId8"/>
    <sheet name="Т10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luJFh/ulUMQf/HZwBZpp2IzYdHkFf9b8eRGboA1tiZw="/>
    </ext>
  </extLst>
</workbook>
</file>

<file path=xl/calcChain.xml><?xml version="1.0" encoding="utf-8"?>
<calcChain xmlns="http://schemas.openxmlformats.org/spreadsheetml/2006/main">
  <c r="O133" i="1" l="1"/>
  <c r="O129" i="1"/>
  <c r="V65" i="1"/>
  <c r="U65" i="1"/>
  <c r="T65" i="1"/>
  <c r="S65" i="1"/>
  <c r="R65" i="1"/>
  <c r="Q65" i="1"/>
  <c r="R83" i="1"/>
  <c r="S83" i="1" s="1"/>
  <c r="T83" i="1" s="1"/>
  <c r="U83" i="1" s="1"/>
  <c r="V83" i="1" s="1"/>
  <c r="W83" i="1" s="1"/>
  <c r="X83" i="1" s="1"/>
  <c r="Y83" i="1" s="1"/>
  <c r="Z83" i="1" s="1"/>
  <c r="AA83" i="1" s="1"/>
  <c r="Q83" i="1"/>
  <c r="R81" i="1"/>
  <c r="S81" i="1" s="1"/>
  <c r="T81" i="1" s="1"/>
  <c r="U81" i="1" s="1"/>
  <c r="V81" i="1" s="1"/>
  <c r="W81" i="1" s="1"/>
  <c r="X81" i="1" s="1"/>
  <c r="Y81" i="1" s="1"/>
  <c r="Z81" i="1" s="1"/>
  <c r="AA81" i="1" s="1"/>
  <c r="Q81" i="1"/>
  <c r="Q79" i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Q77" i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R75" i="1"/>
  <c r="S75" i="1" s="1"/>
  <c r="T75" i="1" s="1"/>
  <c r="U75" i="1" s="1"/>
  <c r="V75" i="1" s="1"/>
  <c r="W75" i="1" s="1"/>
  <c r="X75" i="1" s="1"/>
  <c r="Y75" i="1" s="1"/>
  <c r="Z75" i="1" s="1"/>
  <c r="AA75" i="1" s="1"/>
  <c r="Q75" i="1"/>
  <c r="R73" i="1"/>
  <c r="S73" i="1" s="1"/>
  <c r="T73" i="1" s="1"/>
  <c r="U73" i="1" s="1"/>
  <c r="V73" i="1" s="1"/>
  <c r="W73" i="1" s="1"/>
  <c r="X73" i="1" s="1"/>
  <c r="Y73" i="1" s="1"/>
  <c r="Z73" i="1" s="1"/>
  <c r="AA73" i="1" s="1"/>
  <c r="Q73" i="1"/>
  <c r="R71" i="1"/>
  <c r="S71" i="1" s="1"/>
  <c r="T71" i="1" s="1"/>
  <c r="U71" i="1" s="1"/>
  <c r="V71" i="1" s="1"/>
  <c r="W71" i="1" s="1"/>
  <c r="X71" i="1" s="1"/>
  <c r="Y71" i="1" s="1"/>
  <c r="Z71" i="1" s="1"/>
  <c r="AA71" i="1" s="1"/>
  <c r="Q71" i="1"/>
  <c r="Q69" i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R67" i="1"/>
  <c r="S67" i="1" s="1"/>
  <c r="T67" i="1" s="1"/>
  <c r="U67" i="1" s="1"/>
  <c r="V67" i="1" s="1"/>
  <c r="W67" i="1" s="1"/>
  <c r="X67" i="1" s="1"/>
  <c r="Y67" i="1" s="1"/>
  <c r="Z67" i="1" s="1"/>
  <c r="AA67" i="1" s="1"/>
  <c r="Q67" i="1"/>
  <c r="W65" i="1"/>
  <c r="X65" i="1" s="1"/>
  <c r="Y65" i="1" s="1"/>
  <c r="Z65" i="1" s="1"/>
  <c r="AA65" i="1" s="1"/>
  <c r="Q74" i="1"/>
  <c r="P83" i="1"/>
  <c r="P81" i="1"/>
  <c r="P79" i="1"/>
  <c r="P77" i="1"/>
  <c r="P75" i="1"/>
  <c r="P73" i="1"/>
  <c r="P71" i="1"/>
  <c r="P69" i="1"/>
  <c r="P67" i="1"/>
  <c r="P65" i="1"/>
  <c r="K83" i="1"/>
  <c r="K81" i="1"/>
  <c r="L81" i="1" s="1"/>
  <c r="M81" i="1" s="1"/>
  <c r="N81" i="1" s="1"/>
  <c r="K79" i="1"/>
  <c r="K77" i="1"/>
  <c r="K75" i="1"/>
  <c r="L75" i="1" s="1"/>
  <c r="M75" i="1" s="1"/>
  <c r="N75" i="1" s="1"/>
  <c r="K73" i="1"/>
  <c r="K71" i="1"/>
  <c r="L71" i="1" s="1"/>
  <c r="M71" i="1" s="1"/>
  <c r="N71" i="1" s="1"/>
  <c r="K69" i="1"/>
  <c r="L69" i="1" s="1"/>
  <c r="M69" i="1" s="1"/>
  <c r="N69" i="1" s="1"/>
  <c r="K67" i="1"/>
  <c r="K65" i="1"/>
  <c r="L65" i="1" s="1"/>
  <c r="L83" i="1"/>
  <c r="M83" i="1" s="1"/>
  <c r="N83" i="1" s="1"/>
  <c r="L79" i="1"/>
  <c r="M79" i="1" s="1"/>
  <c r="N79" i="1" s="1"/>
  <c r="L77" i="1"/>
  <c r="M77" i="1" s="1"/>
  <c r="N77" i="1" s="1"/>
  <c r="L73" i="1"/>
  <c r="M73" i="1" s="1"/>
  <c r="N73" i="1" s="1"/>
  <c r="L67" i="1"/>
  <c r="M67" i="1" s="1"/>
  <c r="N67" i="1" s="1"/>
  <c r="J65" i="1"/>
  <c r="I65" i="1"/>
  <c r="H65" i="1"/>
  <c r="J125" i="1"/>
  <c r="I125" i="1"/>
  <c r="H125" i="1"/>
  <c r="G125" i="1"/>
  <c r="F125" i="1"/>
  <c r="E125" i="1"/>
  <c r="Q59" i="1"/>
  <c r="Q57" i="1"/>
  <c r="Q55" i="1"/>
  <c r="Q53" i="1"/>
  <c r="Q51" i="1"/>
  <c r="Q49" i="1"/>
  <c r="Q47" i="1"/>
  <c r="Q45" i="1"/>
  <c r="Q43" i="1"/>
  <c r="Q41" i="1"/>
  <c r="P59" i="1"/>
  <c r="P57" i="1"/>
  <c r="P55" i="1"/>
  <c r="P53" i="1"/>
  <c r="P51" i="1"/>
  <c r="P49" i="1"/>
  <c r="P47" i="1"/>
  <c r="P45" i="1"/>
  <c r="P43" i="1"/>
  <c r="P41" i="1"/>
  <c r="F59" i="1"/>
  <c r="F57" i="1"/>
  <c r="F81" i="1" s="1"/>
  <c r="G81" i="1" s="1"/>
  <c r="F55" i="1"/>
  <c r="H55" i="1" s="1"/>
  <c r="F53" i="1"/>
  <c r="F51" i="1"/>
  <c r="H51" i="1" s="1"/>
  <c r="F49" i="1"/>
  <c r="H49" i="1" s="1"/>
  <c r="F47" i="1"/>
  <c r="F48" i="1" s="1"/>
  <c r="G101" i="1" s="1"/>
  <c r="F45" i="1"/>
  <c r="F43" i="1"/>
  <c r="H59" i="1"/>
  <c r="J59" i="1" s="1"/>
  <c r="H57" i="1"/>
  <c r="H81" i="1" s="1"/>
  <c r="I81" i="1" s="1"/>
  <c r="H53" i="1"/>
  <c r="J53" i="1" s="1"/>
  <c r="L53" i="1" s="1"/>
  <c r="H47" i="1"/>
  <c r="H71" i="1" s="1"/>
  <c r="I71" i="1" s="1"/>
  <c r="H45" i="1"/>
  <c r="J45" i="1" s="1"/>
  <c r="J43" i="1"/>
  <c r="L43" i="1" s="1"/>
  <c r="H43" i="1"/>
  <c r="L41" i="1"/>
  <c r="J41" i="1"/>
  <c r="H41" i="1"/>
  <c r="F41" i="1"/>
  <c r="E133" i="1"/>
  <c r="D133" i="1"/>
  <c r="C133" i="1"/>
  <c r="E131" i="1"/>
  <c r="D131" i="1"/>
  <c r="C131" i="1"/>
  <c r="E113" i="1"/>
  <c r="D113" i="1"/>
  <c r="C113" i="1"/>
  <c r="F83" i="1"/>
  <c r="G83" i="1" s="1"/>
  <c r="F79" i="1"/>
  <c r="G79" i="1" s="1"/>
  <c r="F77" i="1"/>
  <c r="G77" i="1" s="1"/>
  <c r="F73" i="1"/>
  <c r="G73" i="1" s="1"/>
  <c r="F71" i="1"/>
  <c r="G71" i="1" s="1"/>
  <c r="F69" i="1"/>
  <c r="G69" i="1" s="1"/>
  <c r="F67" i="1"/>
  <c r="G67" i="1" s="1"/>
  <c r="G65" i="1"/>
  <c r="F65" i="1"/>
  <c r="F58" i="1"/>
  <c r="G106" i="1" s="1"/>
  <c r="H44" i="1"/>
  <c r="E83" i="1"/>
  <c r="E81" i="1"/>
  <c r="E79" i="1"/>
  <c r="E77" i="1"/>
  <c r="E75" i="1"/>
  <c r="E73" i="1"/>
  <c r="E71" i="1"/>
  <c r="E69" i="1"/>
  <c r="E67" i="1"/>
  <c r="E65" i="1"/>
  <c r="D83" i="1"/>
  <c r="D81" i="1"/>
  <c r="D79" i="1"/>
  <c r="D77" i="1"/>
  <c r="D75" i="1"/>
  <c r="D73" i="1"/>
  <c r="D71" i="1"/>
  <c r="D69" i="1"/>
  <c r="D67" i="1"/>
  <c r="D65" i="1"/>
  <c r="C127" i="1"/>
  <c r="C83" i="1"/>
  <c r="C81" i="1"/>
  <c r="C79" i="1"/>
  <c r="C77" i="1"/>
  <c r="C75" i="1"/>
  <c r="C76" i="1" s="1"/>
  <c r="C73" i="1"/>
  <c r="C71" i="1"/>
  <c r="C69" i="1"/>
  <c r="C67" i="1"/>
  <c r="C65" i="1"/>
  <c r="D42" i="1"/>
  <c r="D41" i="1"/>
  <c r="K60" i="1"/>
  <c r="I60" i="1"/>
  <c r="G60" i="1"/>
  <c r="F60" i="1"/>
  <c r="E60" i="1"/>
  <c r="D60" i="1"/>
  <c r="B60" i="1"/>
  <c r="H60" i="1"/>
  <c r="B59" i="1"/>
  <c r="B57" i="1"/>
  <c r="B55" i="1"/>
  <c r="B53" i="1"/>
  <c r="B51" i="1"/>
  <c r="B49" i="1"/>
  <c r="B47" i="1"/>
  <c r="B45" i="1"/>
  <c r="B43" i="1"/>
  <c r="B41" i="1"/>
  <c r="D59" i="1"/>
  <c r="D57" i="1"/>
  <c r="D55" i="1"/>
  <c r="D53" i="1"/>
  <c r="D51" i="1"/>
  <c r="D49" i="1"/>
  <c r="D47" i="1"/>
  <c r="D45" i="1"/>
  <c r="D43" i="1"/>
  <c r="D37" i="1"/>
  <c r="D36" i="1"/>
  <c r="D35" i="1"/>
  <c r="D34" i="1"/>
  <c r="D33" i="1"/>
  <c r="D31" i="1"/>
  <c r="D28" i="1"/>
  <c r="B12" i="9"/>
  <c r="B11" i="9"/>
  <c r="B10" i="9"/>
  <c r="B12" i="8"/>
  <c r="B11" i="8"/>
  <c r="B10" i="8"/>
  <c r="B12" i="7"/>
  <c r="B11" i="7"/>
  <c r="B10" i="7"/>
  <c r="B12" i="6"/>
  <c r="B11" i="6"/>
  <c r="B10" i="6"/>
  <c r="B12" i="5"/>
  <c r="B11" i="5"/>
  <c r="B10" i="5"/>
  <c r="B12" i="3"/>
  <c r="B11" i="3"/>
  <c r="B10" i="3"/>
  <c r="B13" i="2"/>
  <c r="B12" i="2"/>
  <c r="B11" i="2"/>
  <c r="B10" i="2"/>
  <c r="C84" i="1"/>
  <c r="C82" i="1"/>
  <c r="C80" i="1"/>
  <c r="C78" i="1"/>
  <c r="C74" i="1"/>
  <c r="C72" i="1"/>
  <c r="D44" i="1"/>
  <c r="C172" i="1"/>
  <c r="AD119" i="1"/>
  <c r="AD145" i="1" s="1"/>
  <c r="AE119" i="1"/>
  <c r="AF119" i="1"/>
  <c r="AG119" i="1"/>
  <c r="AH119" i="1"/>
  <c r="AI119" i="1"/>
  <c r="AI145" i="1" s="1"/>
  <c r="AJ119" i="1"/>
  <c r="AJ145" i="1" s="1"/>
  <c r="AK119" i="1"/>
  <c r="AL119" i="1"/>
  <c r="AM119" i="1"/>
  <c r="AN119" i="1"/>
  <c r="AN145" i="1" s="1"/>
  <c r="AC119" i="1"/>
  <c r="Q119" i="1"/>
  <c r="R119" i="1"/>
  <c r="R145" i="1" s="1"/>
  <c r="S119" i="1"/>
  <c r="T119" i="1"/>
  <c r="U119" i="1"/>
  <c r="U145" i="1" s="1"/>
  <c r="V119" i="1"/>
  <c r="W119" i="1"/>
  <c r="X119" i="1"/>
  <c r="Y119" i="1"/>
  <c r="Z119" i="1"/>
  <c r="Z145" i="1" s="1"/>
  <c r="AA119" i="1"/>
  <c r="P119" i="1"/>
  <c r="P145" i="1" s="1"/>
  <c r="N119" i="1"/>
  <c r="N145" i="1" s="1"/>
  <c r="AE60" i="1"/>
  <c r="AF60" i="1"/>
  <c r="AG60" i="1"/>
  <c r="AH60" i="1"/>
  <c r="AI60" i="1"/>
  <c r="AJ60" i="1"/>
  <c r="AK60" i="1"/>
  <c r="AL60" i="1"/>
  <c r="AM60" i="1"/>
  <c r="AN60" i="1"/>
  <c r="AE58" i="1"/>
  <c r="AF58" i="1"/>
  <c r="AG58" i="1"/>
  <c r="AH58" i="1"/>
  <c r="AI58" i="1"/>
  <c r="AJ58" i="1"/>
  <c r="AK58" i="1"/>
  <c r="AL58" i="1"/>
  <c r="AM58" i="1"/>
  <c r="AN58" i="1"/>
  <c r="AE56" i="1"/>
  <c r="AF56" i="1"/>
  <c r="AG56" i="1"/>
  <c r="AH56" i="1"/>
  <c r="AI56" i="1"/>
  <c r="AJ56" i="1"/>
  <c r="AK56" i="1"/>
  <c r="AL56" i="1"/>
  <c r="AM56" i="1"/>
  <c r="AN56" i="1"/>
  <c r="AE54" i="1"/>
  <c r="AF54" i="1"/>
  <c r="AG54" i="1"/>
  <c r="AH54" i="1"/>
  <c r="AI54" i="1"/>
  <c r="AJ54" i="1"/>
  <c r="AK54" i="1"/>
  <c r="AL54" i="1"/>
  <c r="AM54" i="1"/>
  <c r="AN54" i="1"/>
  <c r="AE52" i="1"/>
  <c r="AF52" i="1"/>
  <c r="AG52" i="1"/>
  <c r="AH52" i="1"/>
  <c r="AI52" i="1"/>
  <c r="AJ52" i="1"/>
  <c r="AK52" i="1"/>
  <c r="AL52" i="1"/>
  <c r="AM52" i="1"/>
  <c r="AN52" i="1"/>
  <c r="AE50" i="1"/>
  <c r="AF50" i="1"/>
  <c r="AG50" i="1"/>
  <c r="AH50" i="1"/>
  <c r="AI50" i="1"/>
  <c r="AJ50" i="1"/>
  <c r="AK50" i="1"/>
  <c r="AL50" i="1"/>
  <c r="AM50" i="1"/>
  <c r="AN50" i="1"/>
  <c r="AE48" i="1"/>
  <c r="AF48" i="1"/>
  <c r="AG48" i="1"/>
  <c r="AH48" i="1"/>
  <c r="AI48" i="1"/>
  <c r="AJ48" i="1"/>
  <c r="AK48" i="1"/>
  <c r="AL48" i="1"/>
  <c r="AM48" i="1"/>
  <c r="AN48" i="1"/>
  <c r="AE46" i="1"/>
  <c r="AF46" i="1"/>
  <c r="AG46" i="1"/>
  <c r="AH46" i="1"/>
  <c r="AI46" i="1"/>
  <c r="AJ46" i="1"/>
  <c r="AK46" i="1"/>
  <c r="AK100" i="1" s="1"/>
  <c r="AK69" i="1" s="1"/>
  <c r="AL46" i="1"/>
  <c r="AM46" i="1"/>
  <c r="AN46" i="1"/>
  <c r="AD60" i="1"/>
  <c r="AD58" i="1"/>
  <c r="AD56" i="1"/>
  <c r="AD54" i="1"/>
  <c r="AD52" i="1"/>
  <c r="AD50" i="1"/>
  <c r="AD48" i="1"/>
  <c r="AD46" i="1"/>
  <c r="AD44" i="1"/>
  <c r="AD42" i="1"/>
  <c r="AC46" i="1"/>
  <c r="AC44" i="1"/>
  <c r="AC42" i="1"/>
  <c r="F50" i="1"/>
  <c r="F102" i="1" s="1"/>
  <c r="M60" i="1"/>
  <c r="E58" i="1"/>
  <c r="G58" i="1"/>
  <c r="I58" i="1"/>
  <c r="K58" i="1"/>
  <c r="M58" i="1"/>
  <c r="E56" i="1"/>
  <c r="G56" i="1"/>
  <c r="I56" i="1"/>
  <c r="K56" i="1"/>
  <c r="M56" i="1"/>
  <c r="E54" i="1"/>
  <c r="G54" i="1"/>
  <c r="I54" i="1"/>
  <c r="K54" i="1"/>
  <c r="M54" i="1"/>
  <c r="E52" i="1"/>
  <c r="G52" i="1"/>
  <c r="I52" i="1"/>
  <c r="K52" i="1"/>
  <c r="M52" i="1"/>
  <c r="E50" i="1"/>
  <c r="G50" i="1"/>
  <c r="I50" i="1"/>
  <c r="K50" i="1"/>
  <c r="M50" i="1"/>
  <c r="E48" i="1"/>
  <c r="G48" i="1"/>
  <c r="I48" i="1"/>
  <c r="K48" i="1"/>
  <c r="M48" i="1"/>
  <c r="D48" i="1"/>
  <c r="F46" i="1"/>
  <c r="B127" i="1"/>
  <c r="C121" i="1"/>
  <c r="C147" i="1" s="1"/>
  <c r="D123" i="1"/>
  <c r="D149" i="1" s="1"/>
  <c r="C123" i="1"/>
  <c r="C149" i="1" s="1"/>
  <c r="D122" i="1"/>
  <c r="D148" i="1" s="1"/>
  <c r="H122" i="1"/>
  <c r="H148" i="1" s="1"/>
  <c r="J122" i="1"/>
  <c r="J148" i="1" s="1"/>
  <c r="L122" i="1"/>
  <c r="L148" i="1" s="1"/>
  <c r="N122" i="1"/>
  <c r="N148" i="1" s="1"/>
  <c r="C120" i="1"/>
  <c r="C146" i="1" s="1"/>
  <c r="D119" i="1"/>
  <c r="D145" i="1" s="1"/>
  <c r="E119" i="1"/>
  <c r="F119" i="1"/>
  <c r="G119" i="1"/>
  <c r="G145" i="1" s="1"/>
  <c r="H119" i="1"/>
  <c r="H145" i="1" s="1"/>
  <c r="I119" i="1"/>
  <c r="I145" i="1" s="1"/>
  <c r="J119" i="1"/>
  <c r="J145" i="1" s="1"/>
  <c r="K119" i="1"/>
  <c r="K145" i="1" s="1"/>
  <c r="L119" i="1"/>
  <c r="L145" i="1" s="1"/>
  <c r="M119" i="1"/>
  <c r="M145" i="1" s="1"/>
  <c r="C119" i="1"/>
  <c r="C145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H20" i="1"/>
  <c r="AK118" i="1" s="1"/>
  <c r="AK144" i="1" s="1"/>
  <c r="C246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C176" i="1"/>
  <c r="D176" i="1" s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N172" i="1"/>
  <c r="M172" i="1"/>
  <c r="L172" i="1"/>
  <c r="K172" i="1"/>
  <c r="J172" i="1"/>
  <c r="I172" i="1"/>
  <c r="H172" i="1"/>
  <c r="G172" i="1"/>
  <c r="F172" i="1"/>
  <c r="E172" i="1"/>
  <c r="D172" i="1"/>
  <c r="O172" i="1"/>
  <c r="AO170" i="1"/>
  <c r="AO172" i="1" s="1"/>
  <c r="AB170" i="1"/>
  <c r="AB172" i="1" s="1"/>
  <c r="O170" i="1"/>
  <c r="AP169" i="1"/>
  <c r="B167" i="1"/>
  <c r="AB161" i="1"/>
  <c r="B161" i="1"/>
  <c r="O161" i="1" s="1"/>
  <c r="O160" i="1"/>
  <c r="AB159" i="1"/>
  <c r="O159" i="1"/>
  <c r="AO155" i="1"/>
  <c r="AB155" i="1"/>
  <c r="B155" i="1"/>
  <c r="O155" i="1" s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O152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AM145" i="1"/>
  <c r="AL145" i="1"/>
  <c r="AK145" i="1"/>
  <c r="AH145" i="1"/>
  <c r="AG145" i="1"/>
  <c r="AF145" i="1"/>
  <c r="AE145" i="1"/>
  <c r="AC145" i="1"/>
  <c r="AA145" i="1"/>
  <c r="Y145" i="1"/>
  <c r="X145" i="1"/>
  <c r="W145" i="1"/>
  <c r="V145" i="1"/>
  <c r="T145" i="1"/>
  <c r="S145" i="1"/>
  <c r="Q145" i="1"/>
  <c r="F145" i="1"/>
  <c r="E145" i="1"/>
  <c r="B145" i="1"/>
  <c r="AO126" i="1"/>
  <c r="AB126" i="1"/>
  <c r="O126" i="1"/>
  <c r="AN123" i="1"/>
  <c r="AN149" i="1" s="1"/>
  <c r="AM123" i="1"/>
  <c r="AM149" i="1" s="1"/>
  <c r="AL123" i="1"/>
  <c r="AL149" i="1" s="1"/>
  <c r="AK123" i="1"/>
  <c r="AK149" i="1" s="1"/>
  <c r="AJ123" i="1"/>
  <c r="AJ149" i="1" s="1"/>
  <c r="AI123" i="1"/>
  <c r="AI149" i="1" s="1"/>
  <c r="AH123" i="1"/>
  <c r="AH149" i="1" s="1"/>
  <c r="AG123" i="1"/>
  <c r="AG149" i="1" s="1"/>
  <c r="AF123" i="1"/>
  <c r="AF149" i="1" s="1"/>
  <c r="AE123" i="1"/>
  <c r="AE149" i="1" s="1"/>
  <c r="AD123" i="1"/>
  <c r="AD149" i="1" s="1"/>
  <c r="AC123" i="1"/>
  <c r="AC149" i="1" s="1"/>
  <c r="AA123" i="1"/>
  <c r="AA149" i="1" s="1"/>
  <c r="Z123" i="1"/>
  <c r="Z149" i="1" s="1"/>
  <c r="Y123" i="1"/>
  <c r="Y149" i="1" s="1"/>
  <c r="X123" i="1"/>
  <c r="X149" i="1" s="1"/>
  <c r="W123" i="1"/>
  <c r="W149" i="1" s="1"/>
  <c r="V123" i="1"/>
  <c r="V149" i="1" s="1"/>
  <c r="U123" i="1"/>
  <c r="U149" i="1" s="1"/>
  <c r="T123" i="1"/>
  <c r="T149" i="1" s="1"/>
  <c r="S123" i="1"/>
  <c r="S149" i="1" s="1"/>
  <c r="R123" i="1"/>
  <c r="R149" i="1" s="1"/>
  <c r="Q123" i="1"/>
  <c r="Q149" i="1" s="1"/>
  <c r="P123" i="1"/>
  <c r="P149" i="1" s="1"/>
  <c r="N123" i="1"/>
  <c r="N149" i="1" s="1"/>
  <c r="M123" i="1"/>
  <c r="M149" i="1" s="1"/>
  <c r="L123" i="1"/>
  <c r="L149" i="1" s="1"/>
  <c r="K123" i="1"/>
  <c r="K149" i="1" s="1"/>
  <c r="J123" i="1"/>
  <c r="J149" i="1" s="1"/>
  <c r="I123" i="1"/>
  <c r="I149" i="1" s="1"/>
  <c r="H123" i="1"/>
  <c r="H149" i="1" s="1"/>
  <c r="G123" i="1"/>
  <c r="G149" i="1" s="1"/>
  <c r="F123" i="1"/>
  <c r="F149" i="1" s="1"/>
  <c r="E123" i="1"/>
  <c r="E149" i="1" s="1"/>
  <c r="AN122" i="1"/>
  <c r="AN148" i="1" s="1"/>
  <c r="AM122" i="1"/>
  <c r="AM148" i="1" s="1"/>
  <c r="AL122" i="1"/>
  <c r="AL148" i="1" s="1"/>
  <c r="AK122" i="1"/>
  <c r="AK148" i="1" s="1"/>
  <c r="AJ122" i="1"/>
  <c r="AJ148" i="1" s="1"/>
  <c r="AI122" i="1"/>
  <c r="AI148" i="1" s="1"/>
  <c r="AH122" i="1"/>
  <c r="AH148" i="1" s="1"/>
  <c r="AG122" i="1"/>
  <c r="AG148" i="1" s="1"/>
  <c r="AF122" i="1"/>
  <c r="AF148" i="1" s="1"/>
  <c r="AE122" i="1"/>
  <c r="AE148" i="1" s="1"/>
  <c r="AD122" i="1"/>
  <c r="AD148" i="1" s="1"/>
  <c r="AC122" i="1"/>
  <c r="AC148" i="1" s="1"/>
  <c r="AA122" i="1"/>
  <c r="AA148" i="1" s="1"/>
  <c r="Z122" i="1"/>
  <c r="Z148" i="1" s="1"/>
  <c r="Y122" i="1"/>
  <c r="Y148" i="1" s="1"/>
  <c r="X122" i="1"/>
  <c r="X148" i="1" s="1"/>
  <c r="W122" i="1"/>
  <c r="W148" i="1" s="1"/>
  <c r="V122" i="1"/>
  <c r="V148" i="1" s="1"/>
  <c r="U122" i="1"/>
  <c r="U148" i="1" s="1"/>
  <c r="T122" i="1"/>
  <c r="T148" i="1" s="1"/>
  <c r="S122" i="1"/>
  <c r="S148" i="1" s="1"/>
  <c r="R122" i="1"/>
  <c r="R148" i="1" s="1"/>
  <c r="Q122" i="1"/>
  <c r="Q148" i="1" s="1"/>
  <c r="P122" i="1"/>
  <c r="P148" i="1" s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N121" i="1"/>
  <c r="M121" i="1"/>
  <c r="L121" i="1"/>
  <c r="K121" i="1"/>
  <c r="J121" i="1"/>
  <c r="I121" i="1"/>
  <c r="H121" i="1"/>
  <c r="G121" i="1"/>
  <c r="F121" i="1"/>
  <c r="E121" i="1"/>
  <c r="D121" i="1"/>
  <c r="AN120" i="1"/>
  <c r="AN146" i="1" s="1"/>
  <c r="AM120" i="1"/>
  <c r="AM146" i="1" s="1"/>
  <c r="AL120" i="1"/>
  <c r="AL146" i="1" s="1"/>
  <c r="AK120" i="1"/>
  <c r="AK146" i="1" s="1"/>
  <c r="AJ120" i="1"/>
  <c r="AJ146" i="1" s="1"/>
  <c r="AI120" i="1"/>
  <c r="AI146" i="1" s="1"/>
  <c r="AH120" i="1"/>
  <c r="AH146" i="1" s="1"/>
  <c r="AG120" i="1"/>
  <c r="AG146" i="1" s="1"/>
  <c r="AF120" i="1"/>
  <c r="AF146" i="1" s="1"/>
  <c r="AE120" i="1"/>
  <c r="AE146" i="1" s="1"/>
  <c r="AD120" i="1"/>
  <c r="AD146" i="1" s="1"/>
  <c r="AC120" i="1"/>
  <c r="AC146" i="1" s="1"/>
  <c r="AA120" i="1"/>
  <c r="AA146" i="1" s="1"/>
  <c r="Z120" i="1"/>
  <c r="Z146" i="1" s="1"/>
  <c r="Y120" i="1"/>
  <c r="Y146" i="1" s="1"/>
  <c r="X120" i="1"/>
  <c r="X146" i="1" s="1"/>
  <c r="W120" i="1"/>
  <c r="W146" i="1" s="1"/>
  <c r="V120" i="1"/>
  <c r="V146" i="1" s="1"/>
  <c r="U120" i="1"/>
  <c r="U146" i="1" s="1"/>
  <c r="T120" i="1"/>
  <c r="T146" i="1" s="1"/>
  <c r="S120" i="1"/>
  <c r="S146" i="1" s="1"/>
  <c r="R120" i="1"/>
  <c r="R146" i="1" s="1"/>
  <c r="Q120" i="1"/>
  <c r="Q146" i="1" s="1"/>
  <c r="P120" i="1"/>
  <c r="P146" i="1" s="1"/>
  <c r="N120" i="1"/>
  <c r="N146" i="1" s="1"/>
  <c r="M120" i="1"/>
  <c r="M146" i="1" s="1"/>
  <c r="L120" i="1"/>
  <c r="L146" i="1" s="1"/>
  <c r="K120" i="1"/>
  <c r="K146" i="1" s="1"/>
  <c r="J120" i="1"/>
  <c r="J146" i="1" s="1"/>
  <c r="I120" i="1"/>
  <c r="I146" i="1" s="1"/>
  <c r="H120" i="1"/>
  <c r="H146" i="1" s="1"/>
  <c r="G120" i="1"/>
  <c r="G146" i="1" s="1"/>
  <c r="F120" i="1"/>
  <c r="F146" i="1" s="1"/>
  <c r="E120" i="1"/>
  <c r="E146" i="1" s="1"/>
  <c r="D120" i="1"/>
  <c r="D146" i="1" s="1"/>
  <c r="AL118" i="1"/>
  <c r="AL144" i="1" s="1"/>
  <c r="AD118" i="1"/>
  <c r="AD144" i="1" s="1"/>
  <c r="U118" i="1"/>
  <c r="U144" i="1" s="1"/>
  <c r="R118" i="1"/>
  <c r="R144" i="1" s="1"/>
  <c r="L118" i="1"/>
  <c r="L144" i="1" s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A117" i="1"/>
  <c r="AA143" i="1" s="1"/>
  <c r="Z117" i="1"/>
  <c r="Z143" i="1" s="1"/>
  <c r="Y117" i="1"/>
  <c r="Y143" i="1" s="1"/>
  <c r="X117" i="1"/>
  <c r="X143" i="1" s="1"/>
  <c r="W117" i="1"/>
  <c r="W143" i="1" s="1"/>
  <c r="V117" i="1"/>
  <c r="V143" i="1" s="1"/>
  <c r="U117" i="1"/>
  <c r="U143" i="1" s="1"/>
  <c r="T117" i="1"/>
  <c r="T143" i="1" s="1"/>
  <c r="S117" i="1"/>
  <c r="S143" i="1" s="1"/>
  <c r="R117" i="1"/>
  <c r="R143" i="1" s="1"/>
  <c r="Q117" i="1"/>
  <c r="Q143" i="1" s="1"/>
  <c r="P117" i="1"/>
  <c r="P143" i="1" s="1"/>
  <c r="N117" i="1"/>
  <c r="N143" i="1" s="1"/>
  <c r="M117" i="1"/>
  <c r="M143" i="1" s="1"/>
  <c r="L117" i="1"/>
  <c r="L143" i="1" s="1"/>
  <c r="K117" i="1"/>
  <c r="K143" i="1" s="1"/>
  <c r="J117" i="1"/>
  <c r="J143" i="1" s="1"/>
  <c r="I117" i="1"/>
  <c r="I143" i="1" s="1"/>
  <c r="H117" i="1"/>
  <c r="H143" i="1" s="1"/>
  <c r="G117" i="1"/>
  <c r="G143" i="1" s="1"/>
  <c r="F117" i="1"/>
  <c r="F143" i="1" s="1"/>
  <c r="E117" i="1"/>
  <c r="E143" i="1" s="1"/>
  <c r="D117" i="1"/>
  <c r="C117" i="1"/>
  <c r="C143" i="1" s="1"/>
  <c r="AN116" i="1"/>
  <c r="AN142" i="1" s="1"/>
  <c r="AM116" i="1"/>
  <c r="AM142" i="1" s="1"/>
  <c r="AL116" i="1"/>
  <c r="AL142" i="1" s="1"/>
  <c r="AK116" i="1"/>
  <c r="AK142" i="1" s="1"/>
  <c r="AJ116" i="1"/>
  <c r="AJ142" i="1" s="1"/>
  <c r="AI116" i="1"/>
  <c r="AI142" i="1" s="1"/>
  <c r="AH116" i="1"/>
  <c r="AH142" i="1" s="1"/>
  <c r="AG116" i="1"/>
  <c r="AG142" i="1" s="1"/>
  <c r="AF116" i="1"/>
  <c r="AF142" i="1" s="1"/>
  <c r="AE116" i="1"/>
  <c r="AE142" i="1" s="1"/>
  <c r="AD116" i="1"/>
  <c r="AD142" i="1" s="1"/>
  <c r="AC116" i="1"/>
  <c r="AC142" i="1" s="1"/>
  <c r="AA116" i="1"/>
  <c r="AA142" i="1" s="1"/>
  <c r="Z116" i="1"/>
  <c r="Z142" i="1" s="1"/>
  <c r="Y116" i="1"/>
  <c r="Y142" i="1" s="1"/>
  <c r="X116" i="1"/>
  <c r="X142" i="1" s="1"/>
  <c r="W116" i="1"/>
  <c r="W142" i="1" s="1"/>
  <c r="V116" i="1"/>
  <c r="V142" i="1" s="1"/>
  <c r="U116" i="1"/>
  <c r="U142" i="1" s="1"/>
  <c r="T116" i="1"/>
  <c r="S116" i="1"/>
  <c r="S142" i="1" s="1"/>
  <c r="R116" i="1"/>
  <c r="R142" i="1" s="1"/>
  <c r="Q116" i="1"/>
  <c r="Q142" i="1" s="1"/>
  <c r="P116" i="1"/>
  <c r="P142" i="1" s="1"/>
  <c r="N116" i="1"/>
  <c r="N142" i="1" s="1"/>
  <c r="M116" i="1"/>
  <c r="M142" i="1" s="1"/>
  <c r="L116" i="1"/>
  <c r="L142" i="1" s="1"/>
  <c r="K116" i="1"/>
  <c r="K142" i="1" s="1"/>
  <c r="J116" i="1"/>
  <c r="J142" i="1" s="1"/>
  <c r="I116" i="1"/>
  <c r="I142" i="1" s="1"/>
  <c r="H116" i="1"/>
  <c r="H142" i="1" s="1"/>
  <c r="G116" i="1"/>
  <c r="G142" i="1" s="1"/>
  <c r="F116" i="1"/>
  <c r="F142" i="1" s="1"/>
  <c r="E116" i="1"/>
  <c r="E142" i="1" s="1"/>
  <c r="D116" i="1"/>
  <c r="C116" i="1"/>
  <c r="C142" i="1" s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AO91" i="1"/>
  <c r="AO108" i="1" s="1"/>
  <c r="AB91" i="1"/>
  <c r="O91" i="1"/>
  <c r="AO90" i="1"/>
  <c r="AB90" i="1"/>
  <c r="A84" i="1"/>
  <c r="A82" i="1"/>
  <c r="A80" i="1"/>
  <c r="A78" i="1"/>
  <c r="A76" i="1"/>
  <c r="A74" i="1"/>
  <c r="A72" i="1"/>
  <c r="B71" i="1"/>
  <c r="A70" i="1"/>
  <c r="B69" i="1"/>
  <c r="B67" i="1"/>
  <c r="B65" i="1"/>
  <c r="E107" i="1"/>
  <c r="C107" i="1"/>
  <c r="A59" i="1"/>
  <c r="A83" i="1" s="1"/>
  <c r="D58" i="1"/>
  <c r="B58" i="1"/>
  <c r="C106" i="1" s="1"/>
  <c r="A57" i="1"/>
  <c r="A81" i="1" s="1"/>
  <c r="D56" i="1"/>
  <c r="B56" i="1"/>
  <c r="C105" i="1" s="1"/>
  <c r="A55" i="1"/>
  <c r="A79" i="1" s="1"/>
  <c r="D54" i="1"/>
  <c r="B54" i="1"/>
  <c r="C104" i="1" s="1"/>
  <c r="A53" i="1"/>
  <c r="A77" i="1" s="1"/>
  <c r="D52" i="1"/>
  <c r="B52" i="1"/>
  <c r="C103" i="1" s="1"/>
  <c r="A51" i="1"/>
  <c r="A75" i="1" s="1"/>
  <c r="D50" i="1"/>
  <c r="B50" i="1"/>
  <c r="C102" i="1" s="1"/>
  <c r="A49" i="1"/>
  <c r="A73" i="1" s="1"/>
  <c r="B48" i="1"/>
  <c r="C101" i="1" s="1"/>
  <c r="A47" i="1"/>
  <c r="A71" i="1" s="1"/>
  <c r="M46" i="1"/>
  <c r="K46" i="1"/>
  <c r="I46" i="1"/>
  <c r="G46" i="1"/>
  <c r="E46" i="1"/>
  <c r="D46" i="1"/>
  <c r="E100" i="1" s="1"/>
  <c r="C46" i="1"/>
  <c r="B46" i="1"/>
  <c r="AO45" i="1"/>
  <c r="A45" i="1"/>
  <c r="A69" i="1" s="1"/>
  <c r="AN44" i="1"/>
  <c r="AM44" i="1"/>
  <c r="AL44" i="1"/>
  <c r="AK44" i="1"/>
  <c r="AJ44" i="1"/>
  <c r="AI44" i="1"/>
  <c r="AH44" i="1"/>
  <c r="AG44" i="1"/>
  <c r="AF44" i="1"/>
  <c r="AE44" i="1"/>
  <c r="M44" i="1"/>
  <c r="K44" i="1"/>
  <c r="I44" i="1"/>
  <c r="G44" i="1"/>
  <c r="F44" i="1"/>
  <c r="E44" i="1"/>
  <c r="C44" i="1"/>
  <c r="B44" i="1"/>
  <c r="AO43" i="1"/>
  <c r="A43" i="1"/>
  <c r="A67" i="1" s="1"/>
  <c r="AN42" i="1"/>
  <c r="AM42" i="1"/>
  <c r="AL42" i="1"/>
  <c r="AK42" i="1"/>
  <c r="AJ42" i="1"/>
  <c r="AI42" i="1"/>
  <c r="AH42" i="1"/>
  <c r="AG42" i="1"/>
  <c r="AF42" i="1"/>
  <c r="AE42" i="1"/>
  <c r="M42" i="1"/>
  <c r="K42" i="1"/>
  <c r="I42" i="1"/>
  <c r="G42" i="1"/>
  <c r="F42" i="1"/>
  <c r="E42" i="1"/>
  <c r="C42" i="1"/>
  <c r="B42" i="1"/>
  <c r="AO41" i="1"/>
  <c r="A41" i="1"/>
  <c r="A65" i="1" s="1"/>
  <c r="C37" i="1"/>
  <c r="C36" i="1"/>
  <c r="C35" i="1"/>
  <c r="C34" i="1"/>
  <c r="C33" i="1"/>
  <c r="C32" i="1"/>
  <c r="D74" i="1" s="1"/>
  <c r="C31" i="1"/>
  <c r="C30" i="1"/>
  <c r="C29" i="1"/>
  <c r="C28" i="1"/>
  <c r="B22" i="1"/>
  <c r="L7" i="1"/>
  <c r="M65" i="1" l="1"/>
  <c r="N65" i="1" s="1"/>
  <c r="H83" i="1"/>
  <c r="I83" i="1" s="1"/>
  <c r="J57" i="1"/>
  <c r="L57" i="1" s="1"/>
  <c r="J55" i="1"/>
  <c r="L55" i="1" s="1"/>
  <c r="H79" i="1"/>
  <c r="I79" i="1" s="1"/>
  <c r="H77" i="1"/>
  <c r="I77" i="1" s="1"/>
  <c r="H75" i="1"/>
  <c r="I75" i="1" s="1"/>
  <c r="J51" i="1"/>
  <c r="J52" i="1" s="1"/>
  <c r="F75" i="1"/>
  <c r="G75" i="1" s="1"/>
  <c r="H73" i="1"/>
  <c r="I73" i="1" s="1"/>
  <c r="J49" i="1"/>
  <c r="J47" i="1"/>
  <c r="L47" i="1" s="1"/>
  <c r="L45" i="1"/>
  <c r="L46" i="1" s="1"/>
  <c r="J69" i="1"/>
  <c r="J46" i="1"/>
  <c r="H69" i="1"/>
  <c r="I69" i="1" s="1"/>
  <c r="L59" i="1"/>
  <c r="N59" i="1" s="1"/>
  <c r="J83" i="1"/>
  <c r="N57" i="1"/>
  <c r="J81" i="1"/>
  <c r="J77" i="1"/>
  <c r="N53" i="1"/>
  <c r="J71" i="1"/>
  <c r="N45" i="1"/>
  <c r="N46" i="1" s="1"/>
  <c r="N43" i="1"/>
  <c r="N44" i="1" s="1"/>
  <c r="H67" i="1"/>
  <c r="I67" i="1" s="1"/>
  <c r="H42" i="1"/>
  <c r="I98" i="1" s="1"/>
  <c r="F61" i="1"/>
  <c r="F62" i="1" s="1"/>
  <c r="F54" i="1"/>
  <c r="G104" i="1" s="1"/>
  <c r="F52" i="1"/>
  <c r="G103" i="1" s="1"/>
  <c r="H46" i="1"/>
  <c r="J100" i="1" s="1"/>
  <c r="H99" i="1"/>
  <c r="F82" i="1"/>
  <c r="F74" i="1"/>
  <c r="D61" i="1"/>
  <c r="D62" i="1" s="1"/>
  <c r="G80" i="1"/>
  <c r="F76" i="1"/>
  <c r="G72" i="1"/>
  <c r="E61" i="1"/>
  <c r="K100" i="1"/>
  <c r="H98" i="1"/>
  <c r="F56" i="1"/>
  <c r="G105" i="1" s="1"/>
  <c r="G102" i="1"/>
  <c r="I100" i="1"/>
  <c r="F100" i="1"/>
  <c r="I99" i="1"/>
  <c r="G99" i="1"/>
  <c r="E106" i="1"/>
  <c r="E105" i="1"/>
  <c r="B62" i="1"/>
  <c r="E104" i="1"/>
  <c r="E103" i="1"/>
  <c r="E102" i="1"/>
  <c r="B39" i="1"/>
  <c r="B140" i="1" s="1"/>
  <c r="B152" i="1" s="1"/>
  <c r="E101" i="1"/>
  <c r="C122" i="1"/>
  <c r="C148" i="1" s="1"/>
  <c r="C98" i="1"/>
  <c r="I107" i="1"/>
  <c r="F106" i="1"/>
  <c r="F105" i="1"/>
  <c r="F103" i="1"/>
  <c r="F101" i="1"/>
  <c r="G100" i="1"/>
  <c r="E99" i="1"/>
  <c r="F99" i="1"/>
  <c r="E122" i="1"/>
  <c r="E148" i="1" s="1"/>
  <c r="AJ39" i="1"/>
  <c r="AJ140" i="1" s="1"/>
  <c r="AJ141" i="1" s="1"/>
  <c r="C100" i="1"/>
  <c r="C70" i="1" s="1"/>
  <c r="H50" i="1"/>
  <c r="J60" i="1"/>
  <c r="AB119" i="1"/>
  <c r="AG100" i="1"/>
  <c r="AG69" i="1" s="1"/>
  <c r="AG70" i="1" s="1"/>
  <c r="AN100" i="1"/>
  <c r="AN69" i="1" s="1"/>
  <c r="AN70" i="1" s="1"/>
  <c r="AH100" i="1"/>
  <c r="AH69" i="1" s="1"/>
  <c r="AH70" i="1" s="1"/>
  <c r="AB145" i="1"/>
  <c r="C99" i="1"/>
  <c r="C68" i="1" s="1"/>
  <c r="AK70" i="1"/>
  <c r="Z118" i="1"/>
  <c r="Z144" i="1" s="1"/>
  <c r="AB108" i="1"/>
  <c r="D118" i="1"/>
  <c r="D144" i="1" s="1"/>
  <c r="AH118" i="1"/>
  <c r="AH144" i="1" s="1"/>
  <c r="AB151" i="1"/>
  <c r="I118" i="1"/>
  <c r="I144" i="1" s="1"/>
  <c r="AI118" i="1"/>
  <c r="AI144" i="1" s="1"/>
  <c r="AJ100" i="1"/>
  <c r="AJ69" i="1" s="1"/>
  <c r="AJ70" i="1" s="1"/>
  <c r="G78" i="1"/>
  <c r="AH39" i="1"/>
  <c r="AH140" i="1" s="1"/>
  <c r="AH141" i="1" s="1"/>
  <c r="Q118" i="1"/>
  <c r="Q144" i="1" s="1"/>
  <c r="G84" i="1"/>
  <c r="AO145" i="1"/>
  <c r="AO119" i="1"/>
  <c r="AO151" i="1"/>
  <c r="AB109" i="1"/>
  <c r="AL100" i="1"/>
  <c r="AL69" i="1" s="1"/>
  <c r="AL70" i="1" s="1"/>
  <c r="AM100" i="1"/>
  <c r="AM69" i="1" s="1"/>
  <c r="AM70" i="1" s="1"/>
  <c r="AI100" i="1"/>
  <c r="AI69" i="1" s="1"/>
  <c r="AI70" i="1" s="1"/>
  <c r="AO46" i="1"/>
  <c r="M118" i="1"/>
  <c r="M144" i="1" s="1"/>
  <c r="AE118" i="1"/>
  <c r="M39" i="1"/>
  <c r="M140" i="1" s="1"/>
  <c r="C39" i="1"/>
  <c r="C140" i="1" s="1"/>
  <c r="C152" i="1" s="1"/>
  <c r="AF39" i="1"/>
  <c r="AF140" i="1" s="1"/>
  <c r="AF141" i="1" s="1"/>
  <c r="AN39" i="1"/>
  <c r="AN140" i="1" s="1"/>
  <c r="AN141" i="1" s="1"/>
  <c r="E118" i="1"/>
  <c r="E144" i="1" s="1"/>
  <c r="V118" i="1"/>
  <c r="V144" i="1" s="1"/>
  <c r="AM118" i="1"/>
  <c r="O108" i="1"/>
  <c r="H118" i="1"/>
  <c r="H144" i="1" s="1"/>
  <c r="Y118" i="1"/>
  <c r="Y144" i="1" s="1"/>
  <c r="I39" i="1"/>
  <c r="I140" i="1" s="1"/>
  <c r="B154" i="1"/>
  <c r="O154" i="1" s="1"/>
  <c r="B158" i="1"/>
  <c r="G39" i="1"/>
  <c r="G140" i="1" s="1"/>
  <c r="G152" i="1" s="1"/>
  <c r="E39" i="1"/>
  <c r="E140" i="1" s="1"/>
  <c r="E152" i="1" s="1"/>
  <c r="G122" i="1"/>
  <c r="G148" i="1" s="1"/>
  <c r="F122" i="1"/>
  <c r="F148" i="1" s="1"/>
  <c r="K39" i="1"/>
  <c r="K140" i="1" s="1"/>
  <c r="K152" i="1" s="1"/>
  <c r="O119" i="1"/>
  <c r="AI39" i="1"/>
  <c r="AI140" i="1" s="1"/>
  <c r="AI141" i="1" s="1"/>
  <c r="AM39" i="1"/>
  <c r="AM140" i="1" s="1"/>
  <c r="AM141" i="1" s="1"/>
  <c r="AB146" i="1"/>
  <c r="AO146" i="1"/>
  <c r="O146" i="1"/>
  <c r="F118" i="1"/>
  <c r="F144" i="1" s="1"/>
  <c r="N118" i="1"/>
  <c r="N144" i="1" s="1"/>
  <c r="W118" i="1"/>
  <c r="W144" i="1" s="1"/>
  <c r="AF118" i="1"/>
  <c r="AF144" i="1" s="1"/>
  <c r="AN118" i="1"/>
  <c r="AN144" i="1" s="1"/>
  <c r="G118" i="1"/>
  <c r="G144" i="1" s="1"/>
  <c r="P118" i="1"/>
  <c r="P144" i="1" s="1"/>
  <c r="X118" i="1"/>
  <c r="X144" i="1" s="1"/>
  <c r="AG118" i="1"/>
  <c r="AG144" i="1" s="1"/>
  <c r="J118" i="1"/>
  <c r="J144" i="1" s="1"/>
  <c r="S118" i="1"/>
  <c r="S144" i="1" s="1"/>
  <c r="AA118" i="1"/>
  <c r="AA144" i="1" s="1"/>
  <c r="AJ118" i="1"/>
  <c r="AJ144" i="1" s="1"/>
  <c r="C118" i="1"/>
  <c r="C144" i="1" s="1"/>
  <c r="K118" i="1"/>
  <c r="K144" i="1" s="1"/>
  <c r="T118" i="1"/>
  <c r="T144" i="1" s="1"/>
  <c r="AC118" i="1"/>
  <c r="AC144" i="1" s="1"/>
  <c r="AD115" i="1"/>
  <c r="AL115" i="1"/>
  <c r="AK99" i="1"/>
  <c r="AK67" i="1" s="1"/>
  <c r="AK68" i="1" s="1"/>
  <c r="AP126" i="1"/>
  <c r="AE39" i="1"/>
  <c r="AE140" i="1" s="1"/>
  <c r="AE141" i="1" s="1"/>
  <c r="AK115" i="1"/>
  <c r="O145" i="1"/>
  <c r="AP161" i="1"/>
  <c r="Q115" i="1"/>
  <c r="AD39" i="1"/>
  <c r="AD140" i="1" s="1"/>
  <c r="AD141" i="1" s="1"/>
  <c r="AL39" i="1"/>
  <c r="AL140" i="1" s="1"/>
  <c r="AL141" i="1" s="1"/>
  <c r="AP155" i="1"/>
  <c r="AM99" i="1"/>
  <c r="AM67" i="1" s="1"/>
  <c r="AM68" i="1" s="1"/>
  <c r="D106" i="1"/>
  <c r="E72" i="1"/>
  <c r="AG39" i="1"/>
  <c r="AG140" i="1" s="1"/>
  <c r="AG141" i="1" s="1"/>
  <c r="AN99" i="1"/>
  <c r="AN67" i="1" s="1"/>
  <c r="AN68" i="1" s="1"/>
  <c r="AB121" i="1"/>
  <c r="AP170" i="1"/>
  <c r="AP172" i="1" s="1"/>
  <c r="D102" i="1"/>
  <c r="U115" i="1"/>
  <c r="O151" i="1"/>
  <c r="AB154" i="1"/>
  <c r="D107" i="1"/>
  <c r="AB120" i="1"/>
  <c r="O121" i="1"/>
  <c r="AP159" i="1"/>
  <c r="AC39" i="1"/>
  <c r="AC140" i="1" s="1"/>
  <c r="AO42" i="1"/>
  <c r="AG98" i="1"/>
  <c r="AG65" i="1" s="1"/>
  <c r="AK98" i="1"/>
  <c r="AK65" i="1" s="1"/>
  <c r="AK39" i="1"/>
  <c r="AK140" i="1" s="1"/>
  <c r="AK141" i="1" s="1"/>
  <c r="P4" i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E80" i="1"/>
  <c r="D80" i="1"/>
  <c r="AO44" i="1"/>
  <c r="AL98" i="1"/>
  <c r="AL65" i="1" s="1"/>
  <c r="AJ98" i="1"/>
  <c r="AJ65" i="1" s="1"/>
  <c r="AL99" i="1"/>
  <c r="AL67" i="1" s="1"/>
  <c r="AL68" i="1" s="1"/>
  <c r="B66" i="1"/>
  <c r="B72" i="1"/>
  <c r="E66" i="1"/>
  <c r="E82" i="1"/>
  <c r="D82" i="1"/>
  <c r="D105" i="1"/>
  <c r="B70" i="1"/>
  <c r="D78" i="1"/>
  <c r="F84" i="1"/>
  <c r="AG99" i="1"/>
  <c r="AG67" i="1" s="1"/>
  <c r="AG68" i="1" s="1"/>
  <c r="E78" i="1"/>
  <c r="T142" i="1"/>
  <c r="AB142" i="1" s="1"/>
  <c r="AB116" i="1"/>
  <c r="AM98" i="1"/>
  <c r="AM65" i="1" s="1"/>
  <c r="D70" i="1"/>
  <c r="AN98" i="1"/>
  <c r="AN65" i="1" s="1"/>
  <c r="AN66" i="1" s="1"/>
  <c r="AH99" i="1"/>
  <c r="AH67" i="1" s="1"/>
  <c r="AH68" i="1" s="1"/>
  <c r="D100" i="1"/>
  <c r="D103" i="1"/>
  <c r="E70" i="1"/>
  <c r="AP91" i="1"/>
  <c r="D72" i="1"/>
  <c r="AI99" i="1"/>
  <c r="AI67" i="1" s="1"/>
  <c r="AI68" i="1" s="1"/>
  <c r="B68" i="1"/>
  <c r="D76" i="1"/>
  <c r="D84" i="1"/>
  <c r="E74" i="1"/>
  <c r="D99" i="1"/>
  <c r="D66" i="1"/>
  <c r="D68" i="1"/>
  <c r="E84" i="1"/>
  <c r="AH98" i="1"/>
  <c r="AH65" i="1" s="1"/>
  <c r="AJ99" i="1"/>
  <c r="AJ67" i="1" s="1"/>
  <c r="AJ68" i="1" s="1"/>
  <c r="D101" i="1"/>
  <c r="E76" i="1"/>
  <c r="AI98" i="1"/>
  <c r="AI65" i="1" s="1"/>
  <c r="AI66" i="1" s="1"/>
  <c r="D104" i="1"/>
  <c r="E68" i="1"/>
  <c r="AE144" i="1"/>
  <c r="AE115" i="1"/>
  <c r="AM144" i="1"/>
  <c r="AM115" i="1"/>
  <c r="D143" i="1"/>
  <c r="O143" i="1" s="1"/>
  <c r="O117" i="1"/>
  <c r="AB149" i="1"/>
  <c r="L115" i="1"/>
  <c r="D142" i="1"/>
  <c r="O142" i="1" s="1"/>
  <c r="O116" i="1"/>
  <c r="AO142" i="1"/>
  <c r="AO121" i="1"/>
  <c r="AB148" i="1"/>
  <c r="D115" i="1"/>
  <c r="S115" i="1"/>
  <c r="AI115" i="1"/>
  <c r="AO120" i="1"/>
  <c r="AO122" i="1"/>
  <c r="AO123" i="1"/>
  <c r="P147" i="1"/>
  <c r="V147" i="1"/>
  <c r="I147" i="1"/>
  <c r="O147" i="1" s="1"/>
  <c r="O149" i="1"/>
  <c r="AB122" i="1"/>
  <c r="AB123" i="1"/>
  <c r="AO148" i="1"/>
  <c r="AO149" i="1"/>
  <c r="AO116" i="1"/>
  <c r="O120" i="1"/>
  <c r="O123" i="1"/>
  <c r="R115" i="1"/>
  <c r="Z115" i="1"/>
  <c r="AB160" i="1"/>
  <c r="AP160" i="1" s="1"/>
  <c r="AO154" i="1"/>
  <c r="H84" i="1" l="1"/>
  <c r="J79" i="1"/>
  <c r="N55" i="1"/>
  <c r="F104" i="1"/>
  <c r="J75" i="1"/>
  <c r="L51" i="1"/>
  <c r="L76" i="1"/>
  <c r="L49" i="1"/>
  <c r="N49" i="1" s="1"/>
  <c r="J73" i="1"/>
  <c r="N47" i="1"/>
  <c r="M100" i="1"/>
  <c r="L100" i="1"/>
  <c r="N100" i="1"/>
  <c r="O45" i="1"/>
  <c r="L70" i="1"/>
  <c r="R53" i="1"/>
  <c r="Q54" i="1"/>
  <c r="L72" i="1"/>
  <c r="O46" i="1"/>
  <c r="H100" i="1"/>
  <c r="N99" i="1"/>
  <c r="O43" i="1"/>
  <c r="L44" i="1"/>
  <c r="J67" i="1"/>
  <c r="J44" i="1"/>
  <c r="J42" i="1"/>
  <c r="F39" i="1"/>
  <c r="F140" i="1" s="1"/>
  <c r="F152" i="1" s="1"/>
  <c r="G82" i="1"/>
  <c r="G74" i="1"/>
  <c r="H78" i="1"/>
  <c r="F78" i="1"/>
  <c r="F80" i="1"/>
  <c r="H80" i="1"/>
  <c r="G76" i="1"/>
  <c r="F72" i="1"/>
  <c r="H72" i="1"/>
  <c r="AP108" i="1"/>
  <c r="C115" i="1"/>
  <c r="C110" i="1"/>
  <c r="J107" i="1"/>
  <c r="K107" i="1"/>
  <c r="G107" i="1"/>
  <c r="F107" i="1"/>
  <c r="H107" i="1"/>
  <c r="H102" i="1"/>
  <c r="I102" i="1"/>
  <c r="G115" i="1"/>
  <c r="D39" i="1"/>
  <c r="D140" i="1" s="1"/>
  <c r="D152" i="1" s="1"/>
  <c r="G98" i="1"/>
  <c r="F98" i="1"/>
  <c r="E98" i="1"/>
  <c r="D98" i="1"/>
  <c r="AN64" i="1"/>
  <c r="AN89" i="1" s="1"/>
  <c r="AN88" i="1" s="1"/>
  <c r="AP145" i="1"/>
  <c r="E64" i="1"/>
  <c r="E89" i="1" s="1"/>
  <c r="D64" i="1"/>
  <c r="D89" i="1" s="1"/>
  <c r="B141" i="1"/>
  <c r="B138" i="1" s="1"/>
  <c r="B165" i="1" s="1"/>
  <c r="B166" i="1" s="1"/>
  <c r="C40" i="1" s="1"/>
  <c r="L60" i="1"/>
  <c r="H52" i="1"/>
  <c r="J103" i="1" s="1"/>
  <c r="W115" i="1"/>
  <c r="I84" i="1"/>
  <c r="AH115" i="1"/>
  <c r="AP119" i="1"/>
  <c r="J115" i="1"/>
  <c r="E115" i="1"/>
  <c r="T115" i="1"/>
  <c r="I122" i="1"/>
  <c r="I148" i="1" s="1"/>
  <c r="AP121" i="1"/>
  <c r="P115" i="1"/>
  <c r="Y115" i="1"/>
  <c r="AP151" i="1"/>
  <c r="AI64" i="1"/>
  <c r="AI89" i="1" s="1"/>
  <c r="AI88" i="1" s="1"/>
  <c r="AK66" i="1"/>
  <c r="AK64" i="1" s="1"/>
  <c r="AK89" i="1" s="1"/>
  <c r="AK127" i="1" s="1"/>
  <c r="AK150" i="1" s="1"/>
  <c r="AK61" i="1"/>
  <c r="AG61" i="1"/>
  <c r="AG66" i="1"/>
  <c r="AG64" i="1" s="1"/>
  <c r="AG89" i="1" s="1"/>
  <c r="AG88" i="1" s="1"/>
  <c r="AL66" i="1"/>
  <c r="AL64" i="1" s="1"/>
  <c r="AL89" i="1" s="1"/>
  <c r="AL127" i="1" s="1"/>
  <c r="AL150" i="1" s="1"/>
  <c r="AL61" i="1"/>
  <c r="AJ61" i="1"/>
  <c r="AJ66" i="1"/>
  <c r="AJ64" i="1" s="1"/>
  <c r="AJ89" i="1" s="1"/>
  <c r="AJ127" i="1" s="1"/>
  <c r="AJ150" i="1" s="1"/>
  <c r="AH61" i="1"/>
  <c r="AH66" i="1"/>
  <c r="AM66" i="1"/>
  <c r="AM64" i="1" s="1"/>
  <c r="AM89" i="1" s="1"/>
  <c r="AM127" i="1" s="1"/>
  <c r="AM150" i="1" s="1"/>
  <c r="AM61" i="1"/>
  <c r="AI61" i="1"/>
  <c r="AN61" i="1"/>
  <c r="AG127" i="1"/>
  <c r="AG150" i="1" s="1"/>
  <c r="J50" i="1"/>
  <c r="H56" i="1"/>
  <c r="H54" i="1"/>
  <c r="V115" i="1"/>
  <c r="H58" i="1"/>
  <c r="AO118" i="1"/>
  <c r="H115" i="1"/>
  <c r="AF115" i="1"/>
  <c r="AB118" i="1"/>
  <c r="AC115" i="1"/>
  <c r="AA115" i="1"/>
  <c r="AN115" i="1"/>
  <c r="X115" i="1"/>
  <c r="F115" i="1"/>
  <c r="AJ115" i="1"/>
  <c r="H48" i="1"/>
  <c r="G141" i="1"/>
  <c r="B73" i="1"/>
  <c r="H74" i="1"/>
  <c r="O144" i="1"/>
  <c r="AP146" i="1"/>
  <c r="AN96" i="1"/>
  <c r="C141" i="1"/>
  <c r="K141" i="1"/>
  <c r="AN95" i="1"/>
  <c r="N115" i="1"/>
  <c r="AG115" i="1"/>
  <c r="AB144" i="1"/>
  <c r="O118" i="1"/>
  <c r="AO144" i="1"/>
  <c r="O100" i="1"/>
  <c r="AP120" i="1"/>
  <c r="AP154" i="1"/>
  <c r="AG110" i="1"/>
  <c r="AG97" i="1"/>
  <c r="AG111" i="1" s="1"/>
  <c r="AI97" i="1"/>
  <c r="AI111" i="1" s="1"/>
  <c r="AI110" i="1"/>
  <c r="M152" i="1"/>
  <c r="M141" i="1"/>
  <c r="AO39" i="1"/>
  <c r="AM110" i="1"/>
  <c r="AM97" i="1"/>
  <c r="AM111" i="1" s="1"/>
  <c r="AO140" i="1"/>
  <c r="AC141" i="1"/>
  <c r="AO141" i="1" s="1"/>
  <c r="AN97" i="1"/>
  <c r="AN111" i="1" s="1"/>
  <c r="AN110" i="1"/>
  <c r="I141" i="1"/>
  <c r="I152" i="1"/>
  <c r="E141" i="1"/>
  <c r="AP149" i="1"/>
  <c r="AP116" i="1"/>
  <c r="AL110" i="1"/>
  <c r="AL97" i="1"/>
  <c r="AL111" i="1" s="1"/>
  <c r="AK110" i="1"/>
  <c r="AK97" i="1"/>
  <c r="AK111" i="1" s="1"/>
  <c r="AH110" i="1"/>
  <c r="AH97" i="1"/>
  <c r="AH111" i="1" s="1"/>
  <c r="AJ110" i="1"/>
  <c r="AJ97" i="1"/>
  <c r="AJ111" i="1" s="1"/>
  <c r="AP142" i="1"/>
  <c r="AP123" i="1"/>
  <c r="AB147" i="1"/>
  <c r="AP147" i="1" s="1"/>
  <c r="AC147" i="1"/>
  <c r="AI147" i="1"/>
  <c r="B64" i="1"/>
  <c r="L80" i="1" l="1"/>
  <c r="L52" i="1"/>
  <c r="N51" i="1"/>
  <c r="L74" i="1"/>
  <c r="R49" i="1"/>
  <c r="Q48" i="1"/>
  <c r="Q60" i="1"/>
  <c r="O83" i="1"/>
  <c r="R59" i="1"/>
  <c r="S59" i="1" s="1"/>
  <c r="Q58" i="1"/>
  <c r="R57" i="1"/>
  <c r="S57" i="1" s="1"/>
  <c r="R55" i="1"/>
  <c r="S53" i="1"/>
  <c r="Q46" i="1"/>
  <c r="R45" i="1"/>
  <c r="S45" i="1" s="1"/>
  <c r="P46" i="1"/>
  <c r="P100" i="1" s="1"/>
  <c r="J99" i="1"/>
  <c r="K99" i="1"/>
  <c r="O44" i="1"/>
  <c r="R43" i="1"/>
  <c r="R44" i="1" s="1"/>
  <c r="P44" i="1"/>
  <c r="P99" i="1" s="1"/>
  <c r="L99" i="1"/>
  <c r="M99" i="1"/>
  <c r="Q44" i="1"/>
  <c r="J98" i="1"/>
  <c r="K98" i="1"/>
  <c r="L42" i="1"/>
  <c r="N41" i="1"/>
  <c r="G110" i="1"/>
  <c r="F141" i="1"/>
  <c r="H82" i="1"/>
  <c r="I78" i="1"/>
  <c r="I80" i="1"/>
  <c r="H76" i="1"/>
  <c r="I72" i="1"/>
  <c r="N52" i="1"/>
  <c r="F110" i="1"/>
  <c r="N60" i="1"/>
  <c r="K103" i="1"/>
  <c r="C66" i="1"/>
  <c r="C64" i="1" s="1"/>
  <c r="C89" i="1" s="1"/>
  <c r="C61" i="1"/>
  <c r="C62" i="1" s="1"/>
  <c r="E62" i="1" s="1"/>
  <c r="L107" i="1"/>
  <c r="M107" i="1"/>
  <c r="H106" i="1"/>
  <c r="I106" i="1"/>
  <c r="H105" i="1"/>
  <c r="I105" i="1"/>
  <c r="H104" i="1"/>
  <c r="I104" i="1"/>
  <c r="L103" i="1"/>
  <c r="M103" i="1"/>
  <c r="H103" i="1"/>
  <c r="I103" i="1"/>
  <c r="J102" i="1"/>
  <c r="K102" i="1"/>
  <c r="H101" i="1"/>
  <c r="I101" i="1"/>
  <c r="D141" i="1"/>
  <c r="E110" i="1"/>
  <c r="AN127" i="1"/>
  <c r="AN150" i="1" s="1"/>
  <c r="E127" i="1"/>
  <c r="E150" i="1" s="1"/>
  <c r="D127" i="1"/>
  <c r="D150" i="1" s="1"/>
  <c r="D110" i="1"/>
  <c r="AG95" i="1"/>
  <c r="AG96" i="1"/>
  <c r="AG139" i="1" s="1"/>
  <c r="AG138" i="1" s="1"/>
  <c r="K84" i="1"/>
  <c r="AI127" i="1"/>
  <c r="AI150" i="1" s="1"/>
  <c r="AL88" i="1"/>
  <c r="I115" i="1"/>
  <c r="AP118" i="1"/>
  <c r="I82" i="1"/>
  <c r="AI95" i="1"/>
  <c r="AB115" i="1"/>
  <c r="AI96" i="1"/>
  <c r="AO115" i="1"/>
  <c r="AK95" i="1"/>
  <c r="AK96" i="1"/>
  <c r="AK88" i="1"/>
  <c r="AM95" i="1"/>
  <c r="AM96" i="1"/>
  <c r="AJ95" i="1"/>
  <c r="AJ96" i="1"/>
  <c r="AJ88" i="1"/>
  <c r="AL95" i="1"/>
  <c r="AH64" i="1"/>
  <c r="AH89" i="1" s="1"/>
  <c r="AM88" i="1"/>
  <c r="AL96" i="1"/>
  <c r="J58" i="1"/>
  <c r="L50" i="1"/>
  <c r="O49" i="1"/>
  <c r="H39" i="1"/>
  <c r="H140" i="1" s="1"/>
  <c r="J54" i="1"/>
  <c r="J56" i="1"/>
  <c r="O59" i="1"/>
  <c r="K122" i="1"/>
  <c r="J48" i="1"/>
  <c r="B74" i="1"/>
  <c r="F68" i="1"/>
  <c r="F70" i="1"/>
  <c r="I74" i="1"/>
  <c r="AP144" i="1"/>
  <c r="AN139" i="1"/>
  <c r="AO147" i="1"/>
  <c r="E96" i="1"/>
  <c r="E90" i="1"/>
  <c r="E109" i="1" s="1"/>
  <c r="E97" i="1" s="1"/>
  <c r="D90" i="1"/>
  <c r="D109" i="1" s="1"/>
  <c r="D97" i="1" s="1"/>
  <c r="D111" i="1" s="1"/>
  <c r="D96" i="1"/>
  <c r="AN94" i="1"/>
  <c r="S43" i="1" l="1"/>
  <c r="R47" i="1"/>
  <c r="S47" i="1" s="1"/>
  <c r="S48" i="1" s="1"/>
  <c r="Q52" i="1"/>
  <c r="R51" i="1"/>
  <c r="S49" i="1"/>
  <c r="S50" i="1" s="1"/>
  <c r="Q50" i="1"/>
  <c r="Q100" i="1"/>
  <c r="T59" i="1"/>
  <c r="S60" i="1"/>
  <c r="T57" i="1"/>
  <c r="U57" i="1" s="1"/>
  <c r="S58" i="1"/>
  <c r="S55" i="1"/>
  <c r="T55" i="1" s="1"/>
  <c r="Q56" i="1"/>
  <c r="S54" i="1"/>
  <c r="T53" i="1"/>
  <c r="U53" i="1" s="1"/>
  <c r="S46" i="1"/>
  <c r="R46" i="1"/>
  <c r="R100" i="1" s="1"/>
  <c r="T45" i="1"/>
  <c r="Q99" i="1"/>
  <c r="T43" i="1"/>
  <c r="U43" i="1" s="1"/>
  <c r="S44" i="1"/>
  <c r="S99" i="1" s="1"/>
  <c r="O99" i="1"/>
  <c r="R99" i="1"/>
  <c r="L68" i="1"/>
  <c r="N42" i="1"/>
  <c r="O41" i="1"/>
  <c r="M98" i="1"/>
  <c r="L98" i="1"/>
  <c r="L66" i="1"/>
  <c r="P52" i="1"/>
  <c r="O51" i="1"/>
  <c r="K78" i="1"/>
  <c r="J80" i="1"/>
  <c r="I76" i="1"/>
  <c r="J72" i="1"/>
  <c r="E111" i="1"/>
  <c r="AG94" i="1"/>
  <c r="AG93" i="1" s="1"/>
  <c r="J84" i="1"/>
  <c r="C96" i="1"/>
  <c r="O60" i="1"/>
  <c r="N107" i="1"/>
  <c r="O107" i="1" s="1"/>
  <c r="J106" i="1"/>
  <c r="K106" i="1"/>
  <c r="J105" i="1"/>
  <c r="K105" i="1"/>
  <c r="I110" i="1"/>
  <c r="J104" i="1"/>
  <c r="K104" i="1"/>
  <c r="O52" i="1"/>
  <c r="N103" i="1"/>
  <c r="O103" i="1" s="1"/>
  <c r="M102" i="1"/>
  <c r="L102" i="1"/>
  <c r="H110" i="1"/>
  <c r="J101" i="1"/>
  <c r="K101" i="1"/>
  <c r="AN138" i="1"/>
  <c r="J82" i="1"/>
  <c r="AK139" i="1"/>
  <c r="AK138" i="1" s="1"/>
  <c r="AI139" i="1"/>
  <c r="AI138" i="1" s="1"/>
  <c r="AI94" i="1"/>
  <c r="AI93" i="1" s="1"/>
  <c r="J39" i="1"/>
  <c r="J140" i="1" s="1"/>
  <c r="J141" i="1" s="1"/>
  <c r="AK94" i="1"/>
  <c r="AK93" i="1" s="1"/>
  <c r="P60" i="1"/>
  <c r="N50" i="1"/>
  <c r="AJ94" i="1"/>
  <c r="AJ93" i="1" s="1"/>
  <c r="AM139" i="1"/>
  <c r="AM138" i="1" s="1"/>
  <c r="AM94" i="1"/>
  <c r="AM93" i="1" s="1"/>
  <c r="AJ139" i="1"/>
  <c r="AJ138" i="1" s="1"/>
  <c r="AL139" i="1"/>
  <c r="AL138" i="1" s="1"/>
  <c r="AL94" i="1"/>
  <c r="AL93" i="1" s="1"/>
  <c r="AH95" i="1"/>
  <c r="AH96" i="1"/>
  <c r="AH88" i="1"/>
  <c r="AH127" i="1"/>
  <c r="AH150" i="1" s="1"/>
  <c r="L56" i="1"/>
  <c r="L58" i="1"/>
  <c r="L48" i="1"/>
  <c r="M122" i="1"/>
  <c r="L54" i="1"/>
  <c r="H152" i="1"/>
  <c r="H141" i="1"/>
  <c r="F66" i="1"/>
  <c r="K148" i="1"/>
  <c r="K115" i="1"/>
  <c r="G66" i="1"/>
  <c r="G68" i="1"/>
  <c r="G70" i="1"/>
  <c r="B75" i="1"/>
  <c r="I68" i="1"/>
  <c r="H68" i="1"/>
  <c r="E88" i="1"/>
  <c r="E95" i="1"/>
  <c r="D95" i="1"/>
  <c r="D94" i="1" s="1"/>
  <c r="AN93" i="1"/>
  <c r="AN113" i="1"/>
  <c r="AN125" i="1"/>
  <c r="AN129" i="1" s="1"/>
  <c r="D88" i="1"/>
  <c r="S51" i="1" l="1"/>
  <c r="T51" i="1" s="1"/>
  <c r="U49" i="1"/>
  <c r="W49" i="1" s="1"/>
  <c r="T47" i="1"/>
  <c r="U47" i="1" s="1"/>
  <c r="U59" i="1"/>
  <c r="U58" i="1"/>
  <c r="V57" i="1"/>
  <c r="W57" i="1" s="1"/>
  <c r="U55" i="1"/>
  <c r="S56" i="1"/>
  <c r="U54" i="1"/>
  <c r="V53" i="1"/>
  <c r="S100" i="1"/>
  <c r="T46" i="1"/>
  <c r="T100" i="1" s="1"/>
  <c r="U45" i="1"/>
  <c r="U44" i="1"/>
  <c r="V43" i="1"/>
  <c r="W43" i="1" s="1"/>
  <c r="T44" i="1"/>
  <c r="T99" i="1" s="1"/>
  <c r="P42" i="1"/>
  <c r="R41" i="1"/>
  <c r="N98" i="1"/>
  <c r="O98" i="1" s="1"/>
  <c r="O42" i="1"/>
  <c r="J78" i="1"/>
  <c r="K76" i="1"/>
  <c r="K72" i="1"/>
  <c r="E94" i="1"/>
  <c r="AG113" i="1"/>
  <c r="AG125" i="1"/>
  <c r="AG129" i="1" s="1"/>
  <c r="AG135" i="1" s="1"/>
  <c r="AG162" i="1" s="1"/>
  <c r="K82" i="1"/>
  <c r="K110" i="1"/>
  <c r="L106" i="1"/>
  <c r="M106" i="1"/>
  <c r="L105" i="1"/>
  <c r="M105" i="1"/>
  <c r="J110" i="1"/>
  <c r="L104" i="1"/>
  <c r="M104" i="1"/>
  <c r="J152" i="1"/>
  <c r="O50" i="1"/>
  <c r="N102" i="1"/>
  <c r="O102" i="1" s="1"/>
  <c r="M101" i="1"/>
  <c r="L101" i="1"/>
  <c r="AK113" i="1"/>
  <c r="D93" i="1"/>
  <c r="D114" i="1"/>
  <c r="G64" i="1"/>
  <c r="G89" i="1" s="1"/>
  <c r="F64" i="1"/>
  <c r="F89" i="1" s="1"/>
  <c r="F127" i="1" s="1"/>
  <c r="AI113" i="1"/>
  <c r="AK125" i="1"/>
  <c r="AK129" i="1" s="1"/>
  <c r="AK135" i="1" s="1"/>
  <c r="AK162" i="1" s="1"/>
  <c r="AJ113" i="1"/>
  <c r="AJ125" i="1"/>
  <c r="AJ129" i="1" s="1"/>
  <c r="AJ135" i="1" s="1"/>
  <c r="AJ162" i="1" s="1"/>
  <c r="AI125" i="1"/>
  <c r="AI129" i="1" s="1"/>
  <c r="AI130" i="1" s="1"/>
  <c r="AM113" i="1"/>
  <c r="AL113" i="1"/>
  <c r="AL125" i="1"/>
  <c r="AL129" i="1" s="1"/>
  <c r="AL135" i="1" s="1"/>
  <c r="AL162" i="1" s="1"/>
  <c r="R52" i="1"/>
  <c r="N54" i="1"/>
  <c r="P58" i="1"/>
  <c r="P56" i="1"/>
  <c r="R60" i="1"/>
  <c r="P48" i="1"/>
  <c r="P50" i="1"/>
  <c r="AM125" i="1"/>
  <c r="AM129" i="1" s="1"/>
  <c r="AM133" i="1" s="1"/>
  <c r="AM163" i="1" s="1"/>
  <c r="AH139" i="1"/>
  <c r="AH138" i="1" s="1"/>
  <c r="AH94" i="1"/>
  <c r="C150" i="1"/>
  <c r="M148" i="1"/>
  <c r="O148" i="1" s="1"/>
  <c r="AP148" i="1" s="1"/>
  <c r="M115" i="1"/>
  <c r="O115" i="1" s="1"/>
  <c r="O53" i="1"/>
  <c r="L39" i="1"/>
  <c r="L140" i="1" s="1"/>
  <c r="N58" i="1"/>
  <c r="O57" i="1"/>
  <c r="N56" i="1"/>
  <c r="O55" i="1"/>
  <c r="O122" i="1"/>
  <c r="AP122" i="1" s="1"/>
  <c r="L84" i="1"/>
  <c r="N48" i="1"/>
  <c r="O47" i="1"/>
  <c r="L78" i="1"/>
  <c r="G61" i="1"/>
  <c r="G62" i="1" s="1"/>
  <c r="I66" i="1"/>
  <c r="J74" i="1"/>
  <c r="N84" i="1"/>
  <c r="M84" i="1"/>
  <c r="H70" i="1"/>
  <c r="B76" i="1"/>
  <c r="J68" i="1"/>
  <c r="K74" i="1"/>
  <c r="E139" i="1"/>
  <c r="D139" i="1"/>
  <c r="D125" i="1"/>
  <c r="AN135" i="1"/>
  <c r="AN162" i="1" s="1"/>
  <c r="AN133" i="1"/>
  <c r="AN163" i="1" s="1"/>
  <c r="AN130" i="1"/>
  <c r="C90" i="1"/>
  <c r="U50" i="1" l="1"/>
  <c r="S52" i="1"/>
  <c r="U51" i="1"/>
  <c r="U60" i="1"/>
  <c r="V59" i="1"/>
  <c r="W59" i="1" s="1"/>
  <c r="X57" i="1"/>
  <c r="Y57" i="1" s="1"/>
  <c r="Y58" i="1" s="1"/>
  <c r="W58" i="1"/>
  <c r="U56" i="1"/>
  <c r="V55" i="1"/>
  <c r="W53" i="1"/>
  <c r="W54" i="1" s="1"/>
  <c r="Y49" i="1"/>
  <c r="W50" i="1"/>
  <c r="U48" i="1"/>
  <c r="V47" i="1"/>
  <c r="W47" i="1" s="1"/>
  <c r="U46" i="1"/>
  <c r="U100" i="1" s="1"/>
  <c r="V45" i="1"/>
  <c r="W45" i="1" s="1"/>
  <c r="U99" i="1"/>
  <c r="W44" i="1"/>
  <c r="X43" i="1"/>
  <c r="X44" i="1" s="1"/>
  <c r="V44" i="1"/>
  <c r="V99" i="1" s="1"/>
  <c r="Q42" i="1"/>
  <c r="S41" i="1"/>
  <c r="P39" i="1"/>
  <c r="P140" i="1" s="1"/>
  <c r="P98" i="1"/>
  <c r="J76" i="1"/>
  <c r="K80" i="1"/>
  <c r="E114" i="1"/>
  <c r="E129" i="1"/>
  <c r="E130" i="1" s="1"/>
  <c r="E93" i="1"/>
  <c r="AG133" i="1"/>
  <c r="AG163" i="1" s="1"/>
  <c r="AG158" i="1" s="1"/>
  <c r="AG165" i="1" s="1"/>
  <c r="AG130" i="1"/>
  <c r="M110" i="1"/>
  <c r="O58" i="1"/>
  <c r="N106" i="1"/>
  <c r="O106" i="1" s="1"/>
  <c r="O56" i="1"/>
  <c r="N105" i="1"/>
  <c r="O105" i="1" s="1"/>
  <c r="O54" i="1"/>
  <c r="N104" i="1"/>
  <c r="O104" i="1" s="1"/>
  <c r="O48" i="1"/>
  <c r="N101" i="1"/>
  <c r="O101" i="1" s="1"/>
  <c r="L110" i="1"/>
  <c r="G90" i="1"/>
  <c r="G109" i="1" s="1"/>
  <c r="G97" i="1" s="1"/>
  <c r="G111" i="1" s="1"/>
  <c r="G127" i="1"/>
  <c r="G150" i="1" s="1"/>
  <c r="C88" i="1"/>
  <c r="C95" i="1"/>
  <c r="AJ133" i="1"/>
  <c r="AJ163" i="1" s="1"/>
  <c r="AJ158" i="1" s="1"/>
  <c r="AJ165" i="1" s="1"/>
  <c r="D129" i="1"/>
  <c r="D135" i="1" s="1"/>
  <c r="D162" i="1" s="1"/>
  <c r="F150" i="1"/>
  <c r="F96" i="1"/>
  <c r="F90" i="1"/>
  <c r="F109" i="1" s="1"/>
  <c r="F97" i="1" s="1"/>
  <c r="F111" i="1" s="1"/>
  <c r="AK130" i="1"/>
  <c r="AK133" i="1"/>
  <c r="AK163" i="1" s="1"/>
  <c r="AK158" i="1" s="1"/>
  <c r="AK165" i="1" s="1"/>
  <c r="AJ130" i="1"/>
  <c r="AL130" i="1"/>
  <c r="AL133" i="1"/>
  <c r="AL163" i="1" s="1"/>
  <c r="AL158" i="1" s="1"/>
  <c r="AL165" i="1" s="1"/>
  <c r="G96" i="1"/>
  <c r="AI135" i="1"/>
  <c r="AI162" i="1" s="1"/>
  <c r="AI133" i="1"/>
  <c r="AI163" i="1" s="1"/>
  <c r="M180" i="1"/>
  <c r="AP115" i="1"/>
  <c r="R50" i="1"/>
  <c r="T49" i="1"/>
  <c r="T52" i="1"/>
  <c r="R48" i="1"/>
  <c r="T60" i="1"/>
  <c r="R58" i="1"/>
  <c r="P54" i="1"/>
  <c r="R56" i="1"/>
  <c r="AM130" i="1"/>
  <c r="AM135" i="1"/>
  <c r="AM162" i="1" s="1"/>
  <c r="AM158" i="1" s="1"/>
  <c r="AM165" i="1" s="1"/>
  <c r="AN158" i="1"/>
  <c r="AN165" i="1" s="1"/>
  <c r="AH125" i="1"/>
  <c r="AH129" i="1" s="1"/>
  <c r="AH93" i="1"/>
  <c r="AH113" i="1"/>
  <c r="L152" i="1"/>
  <c r="L141" i="1"/>
  <c r="N39" i="1"/>
  <c r="N140" i="1" s="1"/>
  <c r="O140" i="1" s="1"/>
  <c r="H61" i="1"/>
  <c r="H66" i="1"/>
  <c r="I61" i="1"/>
  <c r="I70" i="1"/>
  <c r="I64" i="1" s="1"/>
  <c r="I89" i="1" s="1"/>
  <c r="I127" i="1" s="1"/>
  <c r="B77" i="1"/>
  <c r="D138" i="1"/>
  <c r="E138" i="1"/>
  <c r="C109" i="1"/>
  <c r="C97" i="1" s="1"/>
  <c r="C111" i="1" s="1"/>
  <c r="X53" i="1" l="1"/>
  <c r="Y53" i="1" s="1"/>
  <c r="Y54" i="1" s="1"/>
  <c r="V51" i="1"/>
  <c r="W51" i="1" s="1"/>
  <c r="U52" i="1"/>
  <c r="X59" i="1"/>
  <c r="Y59" i="1" s="1"/>
  <c r="Y60" i="1" s="1"/>
  <c r="W60" i="1"/>
  <c r="M82" i="1"/>
  <c r="Z57" i="1"/>
  <c r="AA57" i="1" s="1"/>
  <c r="M80" i="1"/>
  <c r="W55" i="1"/>
  <c r="M78" i="1"/>
  <c r="Y50" i="1"/>
  <c r="AA49" i="1"/>
  <c r="W48" i="1"/>
  <c r="M72" i="1"/>
  <c r="X47" i="1"/>
  <c r="Y47" i="1" s="1"/>
  <c r="Y48" i="1" s="1"/>
  <c r="W46" i="1"/>
  <c r="X45" i="1"/>
  <c r="Y45" i="1" s="1"/>
  <c r="Y46" i="1" s="1"/>
  <c r="V46" i="1"/>
  <c r="X99" i="1"/>
  <c r="W99" i="1"/>
  <c r="Y43" i="1"/>
  <c r="P97" i="1"/>
  <c r="P111" i="1" s="1"/>
  <c r="P110" i="1"/>
  <c r="P152" i="1"/>
  <c r="P141" i="1"/>
  <c r="T41" i="1"/>
  <c r="U41" i="1" s="1"/>
  <c r="S42" i="1"/>
  <c r="S39" i="1" s="1"/>
  <c r="S140" i="1" s="1"/>
  <c r="Q39" i="1"/>
  <c r="Q140" i="1" s="1"/>
  <c r="Q98" i="1"/>
  <c r="N80" i="1"/>
  <c r="E163" i="1"/>
  <c r="E135" i="1"/>
  <c r="E162" i="1" s="1"/>
  <c r="L82" i="1"/>
  <c r="N82" i="1"/>
  <c r="N72" i="1"/>
  <c r="G95" i="1"/>
  <c r="G94" i="1" s="1"/>
  <c r="F88" i="1"/>
  <c r="F95" i="1"/>
  <c r="F94" i="1" s="1"/>
  <c r="O39" i="1"/>
  <c r="N110" i="1"/>
  <c r="O110" i="1" s="1"/>
  <c r="D130" i="1"/>
  <c r="G88" i="1"/>
  <c r="C94" i="1"/>
  <c r="C125" i="1" s="1"/>
  <c r="C129" i="1" s="1"/>
  <c r="D163" i="1"/>
  <c r="D158" i="1" s="1"/>
  <c r="D165" i="1" s="1"/>
  <c r="H64" i="1"/>
  <c r="H89" i="1" s="1"/>
  <c r="AI158" i="1"/>
  <c r="AI165" i="1" s="1"/>
  <c r="V60" i="1"/>
  <c r="T50" i="1"/>
  <c r="V49" i="1"/>
  <c r="N78" i="1"/>
  <c r="R54" i="1"/>
  <c r="T48" i="1"/>
  <c r="T56" i="1"/>
  <c r="T58" i="1"/>
  <c r="J61" i="1"/>
  <c r="AH130" i="1"/>
  <c r="AH135" i="1"/>
  <c r="AH162" i="1" s="1"/>
  <c r="AH133" i="1"/>
  <c r="AH163" i="1" s="1"/>
  <c r="J66" i="1"/>
  <c r="K66" i="1"/>
  <c r="N141" i="1"/>
  <c r="O141" i="1" s="1"/>
  <c r="N152" i="1"/>
  <c r="O152" i="1" s="1"/>
  <c r="H62" i="1"/>
  <c r="I62" i="1" s="1"/>
  <c r="I150" i="1"/>
  <c r="I96" i="1"/>
  <c r="K70" i="1"/>
  <c r="K68" i="1"/>
  <c r="J70" i="1"/>
  <c r="B78" i="1"/>
  <c r="C139" i="1"/>
  <c r="C138" i="1" s="1"/>
  <c r="O72" i="1" l="1"/>
  <c r="V52" i="1"/>
  <c r="Z53" i="1"/>
  <c r="AA53" i="1" s="1"/>
  <c r="AC53" i="1" s="1"/>
  <c r="W52" i="1"/>
  <c r="X51" i="1"/>
  <c r="Y51" i="1" s="1"/>
  <c r="Y52" i="1" s="1"/>
  <c r="G113" i="1"/>
  <c r="W100" i="1"/>
  <c r="Z59" i="1"/>
  <c r="AA59" i="1" s="1"/>
  <c r="AA58" i="1"/>
  <c r="AC57" i="1"/>
  <c r="W56" i="1"/>
  <c r="X55" i="1"/>
  <c r="Y55" i="1" s="1"/>
  <c r="M76" i="1"/>
  <c r="AA50" i="1"/>
  <c r="AC49" i="1"/>
  <c r="Z47" i="1"/>
  <c r="AA47" i="1" s="1"/>
  <c r="V100" i="1"/>
  <c r="Z45" i="1"/>
  <c r="X46" i="1"/>
  <c r="X100" i="1" s="1"/>
  <c r="Y100" i="1"/>
  <c r="Z43" i="1"/>
  <c r="Z44" i="1" s="1"/>
  <c r="Z99" i="1" s="1"/>
  <c r="Y44" i="1"/>
  <c r="F113" i="1"/>
  <c r="S152" i="1"/>
  <c r="S141" i="1"/>
  <c r="V41" i="1"/>
  <c r="W41" i="1" s="1"/>
  <c r="T42" i="1"/>
  <c r="T39" i="1" s="1"/>
  <c r="T140" i="1" s="1"/>
  <c r="Q97" i="1"/>
  <c r="Q111" i="1" s="1"/>
  <c r="Q110" i="1"/>
  <c r="Q141" i="1"/>
  <c r="Q152" i="1"/>
  <c r="U42" i="1"/>
  <c r="U39" i="1" s="1"/>
  <c r="U140" i="1" s="1"/>
  <c r="O71" i="1"/>
  <c r="E158" i="1"/>
  <c r="E165" i="1" s="1"/>
  <c r="O77" i="1"/>
  <c r="G139" i="1"/>
  <c r="G138" i="1" s="1"/>
  <c r="F129" i="1"/>
  <c r="F139" i="1"/>
  <c r="F138" i="1" s="1"/>
  <c r="F93" i="1"/>
  <c r="F114" i="1"/>
  <c r="C114" i="1"/>
  <c r="H96" i="1"/>
  <c r="H127" i="1"/>
  <c r="H150" i="1" s="1"/>
  <c r="H90" i="1"/>
  <c r="I90" i="1" s="1"/>
  <c r="I109" i="1" s="1"/>
  <c r="I97" i="1" s="1"/>
  <c r="I111" i="1" s="1"/>
  <c r="G93" i="1"/>
  <c r="G114" i="1"/>
  <c r="N76" i="1"/>
  <c r="O78" i="1"/>
  <c r="J62" i="1"/>
  <c r="T54" i="1"/>
  <c r="X52" i="1"/>
  <c r="X60" i="1"/>
  <c r="V48" i="1"/>
  <c r="M74" i="1"/>
  <c r="V56" i="1"/>
  <c r="V50" i="1"/>
  <c r="X49" i="1"/>
  <c r="V58" i="1"/>
  <c r="AH158" i="1"/>
  <c r="AH165" i="1" s="1"/>
  <c r="K61" i="1"/>
  <c r="K64" i="1"/>
  <c r="K89" i="1" s="1"/>
  <c r="K96" i="1" s="1"/>
  <c r="L61" i="1"/>
  <c r="J64" i="1"/>
  <c r="J89" i="1" s="1"/>
  <c r="J127" i="1" s="1"/>
  <c r="B79" i="1"/>
  <c r="O79" i="1" s="1"/>
  <c r="R80" i="1" l="1"/>
  <c r="Z60" i="1"/>
  <c r="AA54" i="1"/>
  <c r="Z51" i="1"/>
  <c r="AC59" i="1"/>
  <c r="AA60" i="1"/>
  <c r="AC58" i="1"/>
  <c r="AO58" i="1" s="1"/>
  <c r="AO57" i="1"/>
  <c r="Y56" i="1"/>
  <c r="Z55" i="1"/>
  <c r="AA55" i="1" s="1"/>
  <c r="AC54" i="1"/>
  <c r="AO54" i="1" s="1"/>
  <c r="AO53" i="1"/>
  <c r="O76" i="1"/>
  <c r="AC50" i="1"/>
  <c r="AO50" i="1" s="1"/>
  <c r="AO49" i="1"/>
  <c r="AC47" i="1"/>
  <c r="AA48" i="1"/>
  <c r="M70" i="1"/>
  <c r="AA45" i="1"/>
  <c r="Z46" i="1"/>
  <c r="AA43" i="1"/>
  <c r="AA44" i="1" s="1"/>
  <c r="AA99" i="1" s="1"/>
  <c r="Y99" i="1"/>
  <c r="M68" i="1"/>
  <c r="F133" i="1"/>
  <c r="F163" i="1" s="1"/>
  <c r="F131" i="1"/>
  <c r="T152" i="1"/>
  <c r="T141" i="1"/>
  <c r="W42" i="1"/>
  <c r="X41" i="1"/>
  <c r="V42" i="1"/>
  <c r="V39" i="1" s="1"/>
  <c r="V140" i="1" s="1"/>
  <c r="U152" i="1"/>
  <c r="U141" i="1"/>
  <c r="I95" i="1"/>
  <c r="I94" i="1" s="1"/>
  <c r="I93" i="1" s="1"/>
  <c r="J90" i="1"/>
  <c r="K90" i="1" s="1"/>
  <c r="K88" i="1" s="1"/>
  <c r="I88" i="1"/>
  <c r="H109" i="1"/>
  <c r="H97" i="1" s="1"/>
  <c r="H111" i="1" s="1"/>
  <c r="H88" i="1"/>
  <c r="H95" i="1"/>
  <c r="F130" i="1"/>
  <c r="G129" i="1"/>
  <c r="F135" i="1"/>
  <c r="F162" i="1" s="1"/>
  <c r="O75" i="1"/>
  <c r="K62" i="1"/>
  <c r="L62" i="1" s="1"/>
  <c r="AB59" i="1"/>
  <c r="P78" i="1"/>
  <c r="X50" i="1"/>
  <c r="Z49" i="1"/>
  <c r="Z50" i="1" s="1"/>
  <c r="V54" i="1"/>
  <c r="X56" i="1"/>
  <c r="X48" i="1"/>
  <c r="Z48" i="1"/>
  <c r="X58" i="1"/>
  <c r="Z58" i="1"/>
  <c r="P72" i="1"/>
  <c r="N74" i="1"/>
  <c r="O74" i="1" s="1"/>
  <c r="O73" i="1"/>
  <c r="K127" i="1"/>
  <c r="K150" i="1" s="1"/>
  <c r="J150" i="1"/>
  <c r="J96" i="1"/>
  <c r="L64" i="1"/>
  <c r="L89" i="1" s="1"/>
  <c r="N70" i="1"/>
  <c r="B80" i="1"/>
  <c r="O80" i="1" s="1"/>
  <c r="S80" i="1" l="1"/>
  <c r="Q78" i="1"/>
  <c r="O70" i="1"/>
  <c r="AB60" i="1"/>
  <c r="AD99" i="1"/>
  <c r="AD67" i="1" s="1"/>
  <c r="AD68" i="1" s="1"/>
  <c r="AE99" i="1"/>
  <c r="AE67" i="1" s="1"/>
  <c r="AE68" i="1" s="1"/>
  <c r="AF99" i="1"/>
  <c r="AF67" i="1" s="1"/>
  <c r="AF68" i="1" s="1"/>
  <c r="AB44" i="1"/>
  <c r="AP44" i="1" s="1"/>
  <c r="AB43" i="1"/>
  <c r="AP43" i="1" s="1"/>
  <c r="AC99" i="1"/>
  <c r="AA51" i="1"/>
  <c r="Z52" i="1"/>
  <c r="P70" i="1"/>
  <c r="AO59" i="1"/>
  <c r="AP59" i="1" s="1"/>
  <c r="AC60" i="1"/>
  <c r="AO60" i="1" s="1"/>
  <c r="AP60" i="1" s="1"/>
  <c r="AA56" i="1"/>
  <c r="AC55" i="1"/>
  <c r="Q76" i="1"/>
  <c r="S74" i="1"/>
  <c r="AC48" i="1"/>
  <c r="AO48" i="1" s="1"/>
  <c r="AO47" i="1"/>
  <c r="Q72" i="1"/>
  <c r="Z100" i="1"/>
  <c r="AA46" i="1"/>
  <c r="AB46" i="1" s="1"/>
  <c r="AP46" i="1" s="1"/>
  <c r="AB45" i="1"/>
  <c r="AP45" i="1" s="1"/>
  <c r="P68" i="1"/>
  <c r="AB99" i="1"/>
  <c r="AO99" i="1"/>
  <c r="AC67" i="1"/>
  <c r="V152" i="1"/>
  <c r="V141" i="1"/>
  <c r="W98" i="1"/>
  <c r="W39" i="1"/>
  <c r="W140" i="1" s="1"/>
  <c r="X42" i="1"/>
  <c r="Y41" i="1"/>
  <c r="G135" i="1"/>
  <c r="G162" i="1" s="1"/>
  <c r="G133" i="1"/>
  <c r="G163" i="1" s="1"/>
  <c r="G158" i="1" s="1"/>
  <c r="G165" i="1" s="1"/>
  <c r="G131" i="1"/>
  <c r="M66" i="1"/>
  <c r="M64" i="1" s="1"/>
  <c r="M89" i="1" s="1"/>
  <c r="M127" i="1" s="1"/>
  <c r="M150" i="1" s="1"/>
  <c r="I113" i="1"/>
  <c r="H139" i="1"/>
  <c r="H138" i="1" s="1"/>
  <c r="I139" i="1"/>
  <c r="I138" i="1" s="1"/>
  <c r="L90" i="1"/>
  <c r="L95" i="1" s="1"/>
  <c r="J88" i="1"/>
  <c r="K109" i="1"/>
  <c r="K97" i="1" s="1"/>
  <c r="K111" i="1" s="1"/>
  <c r="J109" i="1"/>
  <c r="J97" i="1" s="1"/>
  <c r="J111" i="1" s="1"/>
  <c r="K95" i="1"/>
  <c r="K139" i="1" s="1"/>
  <c r="K138" i="1" s="1"/>
  <c r="J95" i="1"/>
  <c r="I114" i="1"/>
  <c r="I129" i="1"/>
  <c r="H94" i="1"/>
  <c r="H93" i="1" s="1"/>
  <c r="G130" i="1"/>
  <c r="F158" i="1"/>
  <c r="F165" i="1" s="1"/>
  <c r="P76" i="1"/>
  <c r="AB58" i="1"/>
  <c r="AP58" i="1" s="1"/>
  <c r="AB57" i="1"/>
  <c r="AP57" i="1" s="1"/>
  <c r="AB47" i="1"/>
  <c r="AB49" i="1"/>
  <c r="AP49" i="1" s="1"/>
  <c r="AB48" i="1"/>
  <c r="AB50" i="1"/>
  <c r="AP50" i="1" s="1"/>
  <c r="Z56" i="1"/>
  <c r="AB55" i="1"/>
  <c r="X54" i="1"/>
  <c r="Z54" i="1"/>
  <c r="P80" i="1"/>
  <c r="O69" i="1"/>
  <c r="L96" i="1"/>
  <c r="L127" i="1"/>
  <c r="M61" i="1"/>
  <c r="M62" i="1" s="1"/>
  <c r="B81" i="1"/>
  <c r="O81" i="1" s="1"/>
  <c r="N68" i="1"/>
  <c r="O67" i="1"/>
  <c r="C93" i="1"/>
  <c r="T80" i="1" l="1"/>
  <c r="R78" i="1"/>
  <c r="S72" i="1"/>
  <c r="R72" i="1"/>
  <c r="O65" i="1"/>
  <c r="M181" i="1" s="1"/>
  <c r="B181" i="1" s="1"/>
  <c r="AP48" i="1"/>
  <c r="AC51" i="1"/>
  <c r="AA52" i="1"/>
  <c r="AB52" i="1" s="1"/>
  <c r="AB51" i="1"/>
  <c r="AB56" i="1"/>
  <c r="AO55" i="1"/>
  <c r="AP55" i="1" s="1"/>
  <c r="AC56" i="1"/>
  <c r="AO56" i="1" s="1"/>
  <c r="U78" i="1"/>
  <c r="S78" i="1"/>
  <c r="R76" i="1"/>
  <c r="AP47" i="1"/>
  <c r="Q70" i="1"/>
  <c r="AF100" i="1"/>
  <c r="AF69" i="1" s="1"/>
  <c r="AF70" i="1" s="1"/>
  <c r="AE100" i="1"/>
  <c r="AE69" i="1" s="1"/>
  <c r="AE70" i="1" s="1"/>
  <c r="AD100" i="1"/>
  <c r="AD69" i="1" s="1"/>
  <c r="AD70" i="1" s="1"/>
  <c r="AC100" i="1"/>
  <c r="AA100" i="1"/>
  <c r="AB100" i="1" s="1"/>
  <c r="AP99" i="1"/>
  <c r="Q68" i="1"/>
  <c r="AC68" i="1"/>
  <c r="AO68" i="1" s="1"/>
  <c r="AO67" i="1"/>
  <c r="M96" i="1"/>
  <c r="Y42" i="1"/>
  <c r="X98" i="1"/>
  <c r="X39" i="1"/>
  <c r="X140" i="1" s="1"/>
  <c r="W141" i="1"/>
  <c r="W152" i="1"/>
  <c r="P61" i="1"/>
  <c r="P66" i="1"/>
  <c r="P64" i="1" s="1"/>
  <c r="P89" i="1" s="1"/>
  <c r="I133" i="1"/>
  <c r="I163" i="1" s="1"/>
  <c r="W97" i="1"/>
  <c r="W111" i="1" s="1"/>
  <c r="W110" i="1"/>
  <c r="Z41" i="1"/>
  <c r="Z42" i="1" s="1"/>
  <c r="H113" i="1"/>
  <c r="L109" i="1"/>
  <c r="L97" i="1" s="1"/>
  <c r="L111" i="1" s="1"/>
  <c r="M90" i="1"/>
  <c r="N90" i="1" s="1"/>
  <c r="K94" i="1"/>
  <c r="K125" i="1" s="1"/>
  <c r="J139" i="1"/>
  <c r="J138" i="1" s="1"/>
  <c r="L88" i="1"/>
  <c r="J94" i="1"/>
  <c r="J93" i="1" s="1"/>
  <c r="H129" i="1"/>
  <c r="H131" i="1" s="1"/>
  <c r="I131" i="1" s="1"/>
  <c r="I135" i="1"/>
  <c r="I162" i="1" s="1"/>
  <c r="I130" i="1"/>
  <c r="H114" i="1"/>
  <c r="T78" i="1"/>
  <c r="N66" i="1"/>
  <c r="O66" i="1" s="1"/>
  <c r="Q80" i="1"/>
  <c r="N61" i="1"/>
  <c r="N62" i="1" s="1"/>
  <c r="AB54" i="1"/>
  <c r="AP54" i="1" s="1"/>
  <c r="AB53" i="1"/>
  <c r="AP53" i="1" s="1"/>
  <c r="P74" i="1"/>
  <c r="L150" i="1"/>
  <c r="C135" i="1"/>
  <c r="O68" i="1"/>
  <c r="B82" i="1"/>
  <c r="O82" i="1" s="1"/>
  <c r="R68" i="1" l="1"/>
  <c r="U80" i="1"/>
  <c r="R70" i="1"/>
  <c r="AP52" i="1"/>
  <c r="AC52" i="1"/>
  <c r="AO52" i="1" s="1"/>
  <c r="AO51" i="1"/>
  <c r="AP51" i="1" s="1"/>
  <c r="AP56" i="1"/>
  <c r="V76" i="1"/>
  <c r="T72" i="1"/>
  <c r="AC69" i="1"/>
  <c r="AO100" i="1"/>
  <c r="AP100" i="1" s="1"/>
  <c r="S70" i="1"/>
  <c r="T70" i="1"/>
  <c r="T68" i="1"/>
  <c r="S68" i="1"/>
  <c r="P62" i="1"/>
  <c r="K93" i="1"/>
  <c r="K113" i="1"/>
  <c r="X141" i="1"/>
  <c r="X152" i="1"/>
  <c r="P127" i="1"/>
  <c r="P150" i="1" s="1"/>
  <c r="P88" i="1"/>
  <c r="P95" i="1"/>
  <c r="P96" i="1"/>
  <c r="X110" i="1"/>
  <c r="X97" i="1"/>
  <c r="X111" i="1" s="1"/>
  <c r="I158" i="1"/>
  <c r="I165" i="1" s="1"/>
  <c r="Z98" i="1"/>
  <c r="Z39" i="1"/>
  <c r="Z140" i="1" s="1"/>
  <c r="Y39" i="1"/>
  <c r="Y140" i="1" s="1"/>
  <c r="Y98" i="1"/>
  <c r="L139" i="1"/>
  <c r="L138" i="1" s="1"/>
  <c r="H133" i="1"/>
  <c r="H163" i="1" s="1"/>
  <c r="J113" i="1"/>
  <c r="Q61" i="1"/>
  <c r="Q66" i="1"/>
  <c r="Q64" i="1" s="1"/>
  <c r="Q89" i="1" s="1"/>
  <c r="AA41" i="1"/>
  <c r="AA42" i="1" s="1"/>
  <c r="L94" i="1"/>
  <c r="L114" i="1" s="1"/>
  <c r="M95" i="1"/>
  <c r="M88" i="1"/>
  <c r="M109" i="1"/>
  <c r="M97" i="1" s="1"/>
  <c r="M111" i="1" s="1"/>
  <c r="K129" i="1"/>
  <c r="K114" i="1"/>
  <c r="J129" i="1"/>
  <c r="J131" i="1" s="1"/>
  <c r="J114" i="1"/>
  <c r="S76" i="1"/>
  <c r="W78" i="1"/>
  <c r="V78" i="1"/>
  <c r="H135" i="1"/>
  <c r="H162" i="1" s="1"/>
  <c r="H130" i="1"/>
  <c r="N64" i="1"/>
  <c r="N89" i="1" s="1"/>
  <c r="N127" i="1" s="1"/>
  <c r="O127" i="1" s="1"/>
  <c r="O61" i="1"/>
  <c r="T76" i="1"/>
  <c r="R82" i="1"/>
  <c r="Q82" i="1"/>
  <c r="P82" i="1"/>
  <c r="M182" i="1"/>
  <c r="D182" i="1" s="1"/>
  <c r="C181" i="1"/>
  <c r="D181" i="1"/>
  <c r="B83" i="1"/>
  <c r="N109" i="1"/>
  <c r="O90" i="1"/>
  <c r="AP90" i="1" s="1"/>
  <c r="C134" i="1"/>
  <c r="D134" i="1" s="1"/>
  <c r="E134" i="1" s="1"/>
  <c r="F134" i="1" s="1"/>
  <c r="G134" i="1" s="1"/>
  <c r="C130" i="1"/>
  <c r="C162" i="1"/>
  <c r="V80" i="1" l="1"/>
  <c r="L125" i="1"/>
  <c r="L129" i="1" s="1"/>
  <c r="H134" i="1"/>
  <c r="I134" i="1" s="1"/>
  <c r="U72" i="1"/>
  <c r="U70" i="1"/>
  <c r="X70" i="1"/>
  <c r="AC70" i="1"/>
  <c r="AO70" i="1" s="1"/>
  <c r="AO69" i="1"/>
  <c r="Q62" i="1"/>
  <c r="U68" i="1"/>
  <c r="Y141" i="1"/>
  <c r="Y152" i="1"/>
  <c r="J135" i="1"/>
  <c r="J162" i="1" s="1"/>
  <c r="J133" i="1"/>
  <c r="J163" i="1" s="1"/>
  <c r="Z152" i="1"/>
  <c r="Z141" i="1"/>
  <c r="P139" i="1"/>
  <c r="P138" i="1" s="1"/>
  <c r="Z97" i="1"/>
  <c r="Z111" i="1" s="1"/>
  <c r="Z110" i="1"/>
  <c r="H158" i="1"/>
  <c r="H165" i="1" s="1"/>
  <c r="AA39" i="1"/>
  <c r="AA140" i="1" s="1"/>
  <c r="AD98" i="1"/>
  <c r="AF98" i="1"/>
  <c r="AC98" i="1"/>
  <c r="AE98" i="1"/>
  <c r="AA98" i="1"/>
  <c r="L113" i="1"/>
  <c r="K135" i="1"/>
  <c r="K162" i="1" s="1"/>
  <c r="K133" i="1"/>
  <c r="K163" i="1" s="1"/>
  <c r="Q127" i="1"/>
  <c r="Q150" i="1" s="1"/>
  <c r="Q96" i="1"/>
  <c r="Q88" i="1"/>
  <c r="Q95" i="1"/>
  <c r="K131" i="1"/>
  <c r="Y110" i="1"/>
  <c r="Y97" i="1"/>
  <c r="Y111" i="1" s="1"/>
  <c r="P94" i="1"/>
  <c r="P93" i="1" s="1"/>
  <c r="L93" i="1"/>
  <c r="M139" i="1"/>
  <c r="M138" i="1" s="1"/>
  <c r="M94" i="1"/>
  <c r="M93" i="1" s="1"/>
  <c r="Y78" i="1"/>
  <c r="J130" i="1"/>
  <c r="N88" i="1"/>
  <c r="N95" i="1"/>
  <c r="O95" i="1" s="1"/>
  <c r="N96" i="1"/>
  <c r="O96" i="1" s="1"/>
  <c r="U76" i="1"/>
  <c r="R74" i="1"/>
  <c r="C182" i="1"/>
  <c r="K130" i="1"/>
  <c r="B182" i="1"/>
  <c r="N150" i="1"/>
  <c r="O150" i="1" s="1"/>
  <c r="B84" i="1"/>
  <c r="N97" i="1"/>
  <c r="O109" i="1"/>
  <c r="E246" i="1"/>
  <c r="C163" i="1"/>
  <c r="C158" i="1" s="1"/>
  <c r="C165" i="1" s="1"/>
  <c r="C166" i="1" s="1"/>
  <c r="D40" i="1" s="1"/>
  <c r="C167" i="1"/>
  <c r="W80" i="1" l="1"/>
  <c r="M125" i="1"/>
  <c r="M129" i="1" s="1"/>
  <c r="T82" i="1"/>
  <c r="J158" i="1"/>
  <c r="J165" i="1" s="1"/>
  <c r="V72" i="1"/>
  <c r="W70" i="1"/>
  <c r="V70" i="1"/>
  <c r="P114" i="1"/>
  <c r="V68" i="1"/>
  <c r="M113" i="1"/>
  <c r="Q94" i="1"/>
  <c r="Q93" i="1" s="1"/>
  <c r="P125" i="1"/>
  <c r="P129" i="1" s="1"/>
  <c r="P135" i="1" s="1"/>
  <c r="P162" i="1" s="1"/>
  <c r="K158" i="1"/>
  <c r="K165" i="1" s="1"/>
  <c r="AA110" i="1"/>
  <c r="AA97" i="1"/>
  <c r="AA111" i="1" s="1"/>
  <c r="Q139" i="1"/>
  <c r="Q138" i="1" s="1"/>
  <c r="AE65" i="1"/>
  <c r="AE97" i="1"/>
  <c r="AE111" i="1" s="1"/>
  <c r="AE110" i="1"/>
  <c r="AC65" i="1"/>
  <c r="AO98" i="1"/>
  <c r="AC97" i="1"/>
  <c r="AC110" i="1"/>
  <c r="L131" i="1"/>
  <c r="AF65" i="1"/>
  <c r="AF97" i="1"/>
  <c r="AF111" i="1" s="1"/>
  <c r="AF110" i="1"/>
  <c r="AD65" i="1"/>
  <c r="AD97" i="1"/>
  <c r="AD111" i="1" s="1"/>
  <c r="AD110" i="1"/>
  <c r="P113" i="1"/>
  <c r="L135" i="1"/>
  <c r="L162" i="1" s="1"/>
  <c r="L133" i="1"/>
  <c r="L163" i="1" s="1"/>
  <c r="AA152" i="1"/>
  <c r="AA141" i="1"/>
  <c r="M114" i="1"/>
  <c r="X78" i="1"/>
  <c r="Z78" i="1"/>
  <c r="O88" i="1"/>
  <c r="M177" i="1" s="1"/>
  <c r="J134" i="1"/>
  <c r="K134" i="1" s="1"/>
  <c r="N139" i="1"/>
  <c r="O139" i="1" s="1"/>
  <c r="S82" i="1"/>
  <c r="W76" i="1"/>
  <c r="P84" i="1"/>
  <c r="R84" i="1"/>
  <c r="Q84" i="1"/>
  <c r="O84" i="1"/>
  <c r="D166" i="1"/>
  <c r="N111" i="1"/>
  <c r="O111" i="1" s="1"/>
  <c r="O97" i="1"/>
  <c r="L130" i="1"/>
  <c r="D167" i="1"/>
  <c r="X80" i="1" l="1"/>
  <c r="U82" i="1"/>
  <c r="W72" i="1"/>
  <c r="Y70" i="1"/>
  <c r="Z70" i="1"/>
  <c r="W68" i="1"/>
  <c r="P133" i="1"/>
  <c r="P163" i="1" s="1"/>
  <c r="P158" i="1" s="1"/>
  <c r="P165" i="1" s="1"/>
  <c r="P166" i="1" s="1"/>
  <c r="P130" i="1"/>
  <c r="Q114" i="1"/>
  <c r="Q113" i="1"/>
  <c r="Q125" i="1"/>
  <c r="Q129" i="1" s="1"/>
  <c r="Q130" i="1" s="1"/>
  <c r="AO110" i="1"/>
  <c r="M130" i="1"/>
  <c r="M133" i="1"/>
  <c r="M163" i="1" s="1"/>
  <c r="AC111" i="1"/>
  <c r="AO111" i="1" s="1"/>
  <c r="AO97" i="1"/>
  <c r="AO65" i="1"/>
  <c r="AO61" i="1" s="1"/>
  <c r="AC61" i="1"/>
  <c r="AC66" i="1"/>
  <c r="M131" i="1"/>
  <c r="AE66" i="1"/>
  <c r="AE64" i="1" s="1"/>
  <c r="AE89" i="1" s="1"/>
  <c r="AE61" i="1"/>
  <c r="AF61" i="1"/>
  <c r="AF66" i="1"/>
  <c r="AF64" i="1" s="1"/>
  <c r="AF89" i="1" s="1"/>
  <c r="AD66" i="1"/>
  <c r="AD64" i="1" s="1"/>
  <c r="AD89" i="1" s="1"/>
  <c r="AD61" i="1"/>
  <c r="AA78" i="1"/>
  <c r="AB78" i="1" s="1"/>
  <c r="M135" i="1"/>
  <c r="M162" i="1" s="1"/>
  <c r="N138" i="1"/>
  <c r="O138" i="1" s="1"/>
  <c r="U74" i="1"/>
  <c r="V82" i="1"/>
  <c r="T74" i="1"/>
  <c r="X76" i="1"/>
  <c r="O64" i="1"/>
  <c r="O89" i="1" s="1"/>
  <c r="S84" i="1"/>
  <c r="L134" i="1"/>
  <c r="E40" i="1"/>
  <c r="E166" i="1"/>
  <c r="F166" i="1" s="1"/>
  <c r="C177" i="1"/>
  <c r="D177" i="1"/>
  <c r="E176" i="1" s="1"/>
  <c r="B177" i="1"/>
  <c r="N94" i="1"/>
  <c r="N113" i="1" s="1"/>
  <c r="O94" i="1"/>
  <c r="L158" i="1"/>
  <c r="F246" i="1"/>
  <c r="E167" i="1"/>
  <c r="Y80" i="1" l="1"/>
  <c r="U84" i="1"/>
  <c r="X72" i="1"/>
  <c r="Q135" i="1"/>
  <c r="Q162" i="1" s="1"/>
  <c r="X68" i="1"/>
  <c r="Q133" i="1"/>
  <c r="Q163" i="1" s="1"/>
  <c r="AD96" i="1"/>
  <c r="AD95" i="1"/>
  <c r="AD127" i="1"/>
  <c r="AD150" i="1" s="1"/>
  <c r="AD88" i="1"/>
  <c r="AC64" i="1"/>
  <c r="AO66" i="1"/>
  <c r="AF88" i="1"/>
  <c r="AF95" i="1"/>
  <c r="AF96" i="1"/>
  <c r="AF127" i="1"/>
  <c r="AF150" i="1" s="1"/>
  <c r="W66" i="1"/>
  <c r="W64" i="1" s="1"/>
  <c r="W89" i="1" s="1"/>
  <c r="W61" i="1"/>
  <c r="AE127" i="1"/>
  <c r="AE150" i="1" s="1"/>
  <c r="AE88" i="1"/>
  <c r="AE95" i="1"/>
  <c r="AE96" i="1"/>
  <c r="X66" i="1"/>
  <c r="X61" i="1"/>
  <c r="AB77" i="1"/>
  <c r="AC77" i="1" s="1"/>
  <c r="AC78" i="1" s="1"/>
  <c r="M158" i="1"/>
  <c r="M165" i="1" s="1"/>
  <c r="M134" i="1"/>
  <c r="W82" i="1"/>
  <c r="V74" i="1"/>
  <c r="Y76" i="1"/>
  <c r="T84" i="1"/>
  <c r="G40" i="1"/>
  <c r="F40" i="1"/>
  <c r="O93" i="1"/>
  <c r="M179" i="1"/>
  <c r="N125" i="1"/>
  <c r="N129" i="1" s="1"/>
  <c r="N131" i="1" s="1"/>
  <c r="O131" i="1" s="1"/>
  <c r="N93" i="1"/>
  <c r="N114" i="1"/>
  <c r="E177" i="1"/>
  <c r="F176" i="1" s="1"/>
  <c r="E181" i="1"/>
  <c r="E182" i="1"/>
  <c r="L165" i="1"/>
  <c r="G246" i="1"/>
  <c r="F167" i="1"/>
  <c r="Z80" i="1" l="1"/>
  <c r="AB79" i="1"/>
  <c r="X64" i="1"/>
  <c r="X89" i="1" s="1"/>
  <c r="X127" i="1" s="1"/>
  <c r="X150" i="1" s="1"/>
  <c r="Y72" i="1"/>
  <c r="AA70" i="1"/>
  <c r="AB70" i="1" s="1"/>
  <c r="AP70" i="1" s="1"/>
  <c r="AB69" i="1"/>
  <c r="AP69" i="1" s="1"/>
  <c r="AD94" i="1"/>
  <c r="AD93" i="1" s="1"/>
  <c r="Q158" i="1"/>
  <c r="Q165" i="1" s="1"/>
  <c r="Q166" i="1" s="1"/>
  <c r="Z68" i="1"/>
  <c r="Y68" i="1"/>
  <c r="AE139" i="1"/>
  <c r="AE138" i="1" s="1"/>
  <c r="AF139" i="1"/>
  <c r="AF138" i="1" s="1"/>
  <c r="AE94" i="1"/>
  <c r="AE93" i="1" s="1"/>
  <c r="Z66" i="1"/>
  <c r="W95" i="1"/>
  <c r="W127" i="1"/>
  <c r="W150" i="1" s="1"/>
  <c r="W96" i="1"/>
  <c r="W88" i="1"/>
  <c r="AD139" i="1"/>
  <c r="AD138" i="1" s="1"/>
  <c r="N133" i="1"/>
  <c r="AC89" i="1"/>
  <c r="AO64" i="1"/>
  <c r="AO89" i="1" s="1"/>
  <c r="Y66" i="1"/>
  <c r="Y61" i="1"/>
  <c r="AF94" i="1"/>
  <c r="AF93" i="1" s="1"/>
  <c r="AD77" i="1"/>
  <c r="AE77" i="1" s="1"/>
  <c r="AE78" i="1" s="1"/>
  <c r="X74" i="1"/>
  <c r="Z76" i="1"/>
  <c r="G166" i="1"/>
  <c r="H40" i="1" s="1"/>
  <c r="F177" i="1"/>
  <c r="G176" i="1" s="1"/>
  <c r="G179" i="1" s="1"/>
  <c r="F182" i="1"/>
  <c r="F181" i="1"/>
  <c r="O125" i="1"/>
  <c r="E179" i="1"/>
  <c r="C179" i="1"/>
  <c r="M178" i="1"/>
  <c r="D179" i="1"/>
  <c r="B179" i="1"/>
  <c r="F179" i="1"/>
  <c r="H246" i="1"/>
  <c r="I246" i="1" s="1"/>
  <c r="J246" i="1" s="1"/>
  <c r="K246" i="1" s="1"/>
  <c r="L246" i="1" s="1"/>
  <c r="M246" i="1" s="1"/>
  <c r="N246" i="1" s="1"/>
  <c r="O246" i="1" s="1"/>
  <c r="G167" i="1"/>
  <c r="AA80" i="1" l="1"/>
  <c r="AB80" i="1" s="1"/>
  <c r="AC79" i="1"/>
  <c r="Y64" i="1"/>
  <c r="Y89" i="1" s="1"/>
  <c r="Y127" i="1" s="1"/>
  <c r="Y150" i="1" s="1"/>
  <c r="Z64" i="1"/>
  <c r="Z89" i="1" s="1"/>
  <c r="Z96" i="1" s="1"/>
  <c r="X95" i="1"/>
  <c r="X96" i="1"/>
  <c r="X88" i="1"/>
  <c r="W84" i="1"/>
  <c r="X84" i="1"/>
  <c r="V84" i="1"/>
  <c r="Z84" i="1"/>
  <c r="Z72" i="1"/>
  <c r="AD113" i="1"/>
  <c r="AD125" i="1"/>
  <c r="AD129" i="1" s="1"/>
  <c r="AD130" i="1" s="1"/>
  <c r="Z61" i="1"/>
  <c r="AF113" i="1"/>
  <c r="AE125" i="1"/>
  <c r="AE129" i="1" s="1"/>
  <c r="AE133" i="1" s="1"/>
  <c r="AE163" i="1" s="1"/>
  <c r="AE113" i="1"/>
  <c r="W94" i="1"/>
  <c r="W93" i="1" s="1"/>
  <c r="AF125" i="1"/>
  <c r="AF129" i="1" s="1"/>
  <c r="AA66" i="1"/>
  <c r="AC95" i="1"/>
  <c r="AC96" i="1"/>
  <c r="AO96" i="1" s="1"/>
  <c r="AC88" i="1"/>
  <c r="AC127" i="1"/>
  <c r="W139" i="1"/>
  <c r="W138" i="1" s="1"/>
  <c r="X82" i="1"/>
  <c r="AF77" i="1"/>
  <c r="AF78" i="1" s="1"/>
  <c r="AD78" i="1"/>
  <c r="W74" i="1"/>
  <c r="Y74" i="1"/>
  <c r="AA76" i="1"/>
  <c r="AB76" i="1" s="1"/>
  <c r="AB75" i="1"/>
  <c r="Y82" i="1"/>
  <c r="N135" i="1"/>
  <c r="N162" i="1" s="1"/>
  <c r="H166" i="1"/>
  <c r="I40" i="1" s="1"/>
  <c r="N130" i="1"/>
  <c r="G181" i="1"/>
  <c r="G182" i="1"/>
  <c r="G177" i="1"/>
  <c r="H176" i="1" s="1"/>
  <c r="H167" i="1"/>
  <c r="Y95" i="1" l="1"/>
  <c r="AC80" i="1"/>
  <c r="AD79" i="1"/>
  <c r="Y88" i="1"/>
  <c r="Y96" i="1"/>
  <c r="Z127" i="1"/>
  <c r="Z150" i="1" s="1"/>
  <c r="Z88" i="1"/>
  <c r="Z95" i="1"/>
  <c r="Z94" i="1" s="1"/>
  <c r="Z93" i="1" s="1"/>
  <c r="AB83" i="1"/>
  <c r="X139" i="1"/>
  <c r="X138" i="1" s="1"/>
  <c r="X94" i="1"/>
  <c r="X93" i="1" s="1"/>
  <c r="Y84" i="1"/>
  <c r="AD135" i="1"/>
  <c r="AD162" i="1" s="1"/>
  <c r="AD133" i="1"/>
  <c r="AD163" i="1" s="1"/>
  <c r="AA72" i="1"/>
  <c r="AB72" i="1" s="1"/>
  <c r="AB71" i="1"/>
  <c r="AA68" i="1"/>
  <c r="AB68" i="1" s="1"/>
  <c r="AP68" i="1" s="1"/>
  <c r="AB67" i="1"/>
  <c r="AP67" i="1" s="1"/>
  <c r="AA61" i="1"/>
  <c r="AE135" i="1"/>
  <c r="AE162" i="1" s="1"/>
  <c r="AE158" i="1" s="1"/>
  <c r="AE165" i="1" s="1"/>
  <c r="AE130" i="1"/>
  <c r="W114" i="1"/>
  <c r="AO95" i="1"/>
  <c r="AC94" i="1"/>
  <c r="AC125" i="1" s="1"/>
  <c r="W113" i="1"/>
  <c r="AC139" i="1"/>
  <c r="AO88" i="1"/>
  <c r="W125" i="1"/>
  <c r="W129" i="1" s="1"/>
  <c r="AO127" i="1"/>
  <c r="AC150" i="1"/>
  <c r="AO150" i="1" s="1"/>
  <c r="AF130" i="1"/>
  <c r="AF135" i="1"/>
  <c r="AF162" i="1" s="1"/>
  <c r="AF133" i="1"/>
  <c r="AF163" i="1" s="1"/>
  <c r="AG77" i="1"/>
  <c r="Z74" i="1"/>
  <c r="AC75" i="1"/>
  <c r="Z82" i="1"/>
  <c r="N163" i="1"/>
  <c r="O163" i="1" s="1"/>
  <c r="N134" i="1"/>
  <c r="O134" i="1" s="1"/>
  <c r="I166" i="1"/>
  <c r="J40" i="1" s="1"/>
  <c r="P131" i="1"/>
  <c r="Q131" i="1" s="1"/>
  <c r="O162" i="1"/>
  <c r="H181" i="1"/>
  <c r="H177" i="1"/>
  <c r="H182" i="1"/>
  <c r="I176" i="1"/>
  <c r="H179" i="1"/>
  <c r="P246" i="1"/>
  <c r="R246" i="1" s="1"/>
  <c r="S246" i="1" s="1"/>
  <c r="I167" i="1"/>
  <c r="Y94" i="1" l="1"/>
  <c r="Y93" i="1" s="1"/>
  <c r="Y139" i="1"/>
  <c r="Y138" i="1" s="1"/>
  <c r="AE79" i="1"/>
  <c r="AD80" i="1"/>
  <c r="Z139" i="1"/>
  <c r="Z138" i="1" s="1"/>
  <c r="AA84" i="1"/>
  <c r="AB84" i="1" s="1"/>
  <c r="X113" i="1"/>
  <c r="X125" i="1"/>
  <c r="X129" i="1" s="1"/>
  <c r="X130" i="1" s="1"/>
  <c r="X114" i="1"/>
  <c r="Z113" i="1"/>
  <c r="AD158" i="1"/>
  <c r="AD165" i="1" s="1"/>
  <c r="AC71" i="1"/>
  <c r="Z114" i="1"/>
  <c r="Z125" i="1"/>
  <c r="Z129" i="1" s="1"/>
  <c r="Z135" i="1" s="1"/>
  <c r="Z162" i="1" s="1"/>
  <c r="AA64" i="1"/>
  <c r="AA89" i="1" s="1"/>
  <c r="AC129" i="1"/>
  <c r="AO125" i="1"/>
  <c r="AO139" i="1"/>
  <c r="AC138" i="1"/>
  <c r="AC113" i="1"/>
  <c r="AO94" i="1"/>
  <c r="AO93" i="1" s="1"/>
  <c r="AC93" i="1"/>
  <c r="AF158" i="1"/>
  <c r="AF165" i="1" s="1"/>
  <c r="W135" i="1"/>
  <c r="W162" i="1" s="1"/>
  <c r="W130" i="1"/>
  <c r="W133" i="1"/>
  <c r="W163" i="1" s="1"/>
  <c r="AH77" i="1"/>
  <c r="AG78" i="1"/>
  <c r="AA74" i="1"/>
  <c r="AB74" i="1" s="1"/>
  <c r="AC76" i="1"/>
  <c r="AC83" i="1"/>
  <c r="AD83" i="1" s="1"/>
  <c r="AD84" i="1" s="1"/>
  <c r="AD75" i="1"/>
  <c r="AA82" i="1"/>
  <c r="AB82" i="1" s="1"/>
  <c r="AB81" i="1"/>
  <c r="AC81" i="1" s="1"/>
  <c r="AD81" i="1" s="1"/>
  <c r="N158" i="1"/>
  <c r="N165" i="1" s="1"/>
  <c r="J166" i="1"/>
  <c r="K40" i="1" s="1"/>
  <c r="J176" i="1"/>
  <c r="I181" i="1"/>
  <c r="I182" i="1"/>
  <c r="I179" i="1"/>
  <c r="I177" i="1"/>
  <c r="C247" i="1"/>
  <c r="J167" i="1"/>
  <c r="Y125" i="1" l="1"/>
  <c r="Y129" i="1" s="1"/>
  <c r="Y130" i="1" s="1"/>
  <c r="Y113" i="1"/>
  <c r="Y114" i="1"/>
  <c r="AE80" i="1"/>
  <c r="AF79" i="1"/>
  <c r="AF80" i="1" s="1"/>
  <c r="X135" i="1"/>
  <c r="X162" i="1" s="1"/>
  <c r="X133" i="1"/>
  <c r="X163" i="1" s="1"/>
  <c r="AD71" i="1"/>
  <c r="AE71" i="1" s="1"/>
  <c r="AC72" i="1"/>
  <c r="Z133" i="1"/>
  <c r="Z163" i="1" s="1"/>
  <c r="Z158" i="1" s="1"/>
  <c r="Z165" i="1" s="1"/>
  <c r="Z130" i="1"/>
  <c r="AA127" i="1"/>
  <c r="AA150" i="1" s="1"/>
  <c r="AA95" i="1"/>
  <c r="AA96" i="1"/>
  <c r="AA88" i="1"/>
  <c r="W158" i="1"/>
  <c r="W165" i="1" s="1"/>
  <c r="AC130" i="1"/>
  <c r="AC135" i="1"/>
  <c r="AC162" i="1" s="1"/>
  <c r="AO129" i="1"/>
  <c r="AC133" i="1"/>
  <c r="AO138" i="1"/>
  <c r="AH78" i="1"/>
  <c r="AI77" i="1"/>
  <c r="AI78" i="1" s="1"/>
  <c r="AB73" i="1"/>
  <c r="AC73" i="1" s="1"/>
  <c r="AD73" i="1" s="1"/>
  <c r="AC84" i="1"/>
  <c r="AD76" i="1"/>
  <c r="AE83" i="1"/>
  <c r="AE84" i="1" s="1"/>
  <c r="AE75" i="1"/>
  <c r="AC82" i="1"/>
  <c r="AD82" i="1"/>
  <c r="O158" i="1"/>
  <c r="AE81" i="1"/>
  <c r="K166" i="1"/>
  <c r="L40" i="1" s="1"/>
  <c r="K176" i="1"/>
  <c r="J182" i="1"/>
  <c r="J179" i="1"/>
  <c r="J181" i="1"/>
  <c r="J177" i="1"/>
  <c r="O165" i="1"/>
  <c r="Y135" i="1" l="1"/>
  <c r="Y162" i="1" s="1"/>
  <c r="Y158" i="1" s="1"/>
  <c r="Y165" i="1" s="1"/>
  <c r="Y133" i="1"/>
  <c r="Y163" i="1" s="1"/>
  <c r="AG79" i="1"/>
  <c r="AG80" i="1" s="1"/>
  <c r="AH79" i="1"/>
  <c r="AI79" i="1" s="1"/>
  <c r="X158" i="1"/>
  <c r="X165" i="1" s="1"/>
  <c r="AF71" i="1"/>
  <c r="AE72" i="1"/>
  <c r="AD72" i="1"/>
  <c r="AA94" i="1"/>
  <c r="AA93" i="1" s="1"/>
  <c r="AA139" i="1"/>
  <c r="AA138" i="1" s="1"/>
  <c r="AO162" i="1"/>
  <c r="AO133" i="1"/>
  <c r="C249" i="1" s="1"/>
  <c r="AC163" i="1"/>
  <c r="AO163" i="1" s="1"/>
  <c r="AJ77" i="1"/>
  <c r="AJ78" i="1" s="1"/>
  <c r="AF83" i="1"/>
  <c r="AG83" i="1" s="1"/>
  <c r="AG84" i="1" s="1"/>
  <c r="AI80" i="1"/>
  <c r="AH80" i="1"/>
  <c r="AC74" i="1"/>
  <c r="AD74" i="1"/>
  <c r="AE73" i="1"/>
  <c r="AF73" i="1" s="1"/>
  <c r="AF75" i="1"/>
  <c r="AE76" i="1"/>
  <c r="AE82" i="1"/>
  <c r="AF81" i="1"/>
  <c r="L166" i="1"/>
  <c r="M40" i="1" s="1"/>
  <c r="K179" i="1"/>
  <c r="K177" i="1"/>
  <c r="K181" i="1"/>
  <c r="L176" i="1"/>
  <c r="K182" i="1"/>
  <c r="K167" i="1"/>
  <c r="AJ79" i="1" l="1"/>
  <c r="AJ80" i="1" s="1"/>
  <c r="AG71" i="1"/>
  <c r="AG72" i="1" s="1"/>
  <c r="AF72" i="1"/>
  <c r="AA125" i="1"/>
  <c r="AA129" i="1" s="1"/>
  <c r="AA130" i="1" s="1"/>
  <c r="AA114" i="1"/>
  <c r="AA113" i="1"/>
  <c r="AC158" i="1"/>
  <c r="AK77" i="1"/>
  <c r="AK78" i="1" s="1"/>
  <c r="AF84" i="1"/>
  <c r="AF74" i="1"/>
  <c r="AE74" i="1"/>
  <c r="AF76" i="1"/>
  <c r="AG75" i="1"/>
  <c r="AH75" i="1" s="1"/>
  <c r="AG73" i="1"/>
  <c r="AH73" i="1" s="1"/>
  <c r="AH74" i="1" s="1"/>
  <c r="AH83" i="1"/>
  <c r="AF82" i="1"/>
  <c r="AG81" i="1"/>
  <c r="AH81" i="1" s="1"/>
  <c r="M166" i="1"/>
  <c r="N40" i="1" s="1"/>
  <c r="L177" i="1"/>
  <c r="L179" i="1"/>
  <c r="L180" i="1"/>
  <c r="L182" i="1"/>
  <c r="L181" i="1"/>
  <c r="L167" i="1"/>
  <c r="AK79" i="1" l="1"/>
  <c r="AL79" i="1" s="1"/>
  <c r="AL80" i="1" s="1"/>
  <c r="AH71" i="1"/>
  <c r="AI71" i="1" s="1"/>
  <c r="AI72" i="1" s="1"/>
  <c r="AA133" i="1"/>
  <c r="AC246" i="1" s="1"/>
  <c r="AE246" i="1" s="1"/>
  <c r="AF246" i="1" s="1"/>
  <c r="AG246" i="1" s="1"/>
  <c r="AH246" i="1" s="1"/>
  <c r="AI246" i="1" s="1"/>
  <c r="AJ246" i="1" s="1"/>
  <c r="AK246" i="1" s="1"/>
  <c r="AL246" i="1" s="1"/>
  <c r="AM246" i="1" s="1"/>
  <c r="AN246" i="1" s="1"/>
  <c r="AA135" i="1"/>
  <c r="AA162" i="1" s="1"/>
  <c r="AO158" i="1"/>
  <c r="AC165" i="1"/>
  <c r="AO165" i="1" s="1"/>
  <c r="AL77" i="1"/>
  <c r="AM77" i="1" s="1"/>
  <c r="AM78" i="1" s="1"/>
  <c r="AK80" i="1"/>
  <c r="AG74" i="1"/>
  <c r="AM79" i="1"/>
  <c r="AN79" i="1" s="1"/>
  <c r="AN80" i="1" s="1"/>
  <c r="AH76" i="1"/>
  <c r="AG76" i="1"/>
  <c r="AI73" i="1"/>
  <c r="AJ73" i="1" s="1"/>
  <c r="AH84" i="1"/>
  <c r="AI83" i="1"/>
  <c r="AI75" i="1"/>
  <c r="AJ75" i="1" s="1"/>
  <c r="AJ76" i="1" s="1"/>
  <c r="AH82" i="1"/>
  <c r="AG82" i="1"/>
  <c r="AI81" i="1"/>
  <c r="N166" i="1"/>
  <c r="C180" i="1"/>
  <c r="C178" i="1" s="1"/>
  <c r="C183" i="1" s="1"/>
  <c r="J180" i="1"/>
  <c r="J178" i="1" s="1"/>
  <c r="J183" i="1" s="1"/>
  <c r="B180" i="1"/>
  <c r="B178" i="1" s="1"/>
  <c r="B183" i="1" s="1"/>
  <c r="G180" i="1"/>
  <c r="G178" i="1" s="1"/>
  <c r="G183" i="1" s="1"/>
  <c r="E180" i="1"/>
  <c r="E178" i="1" s="1"/>
  <c r="E183" i="1" s="1"/>
  <c r="H180" i="1"/>
  <c r="H178" i="1" s="1"/>
  <c r="H183" i="1" s="1"/>
  <c r="I180" i="1"/>
  <c r="I178" i="1" s="1"/>
  <c r="I183" i="1" s="1"/>
  <c r="F180" i="1"/>
  <c r="F178" i="1" s="1"/>
  <c r="F183" i="1" s="1"/>
  <c r="D180" i="1"/>
  <c r="D178" i="1" s="1"/>
  <c r="D183" i="1" s="1"/>
  <c r="K180" i="1"/>
  <c r="K178" i="1" s="1"/>
  <c r="K183" i="1" s="1"/>
  <c r="L178" i="1"/>
  <c r="L183" i="1" s="1"/>
  <c r="M167" i="1"/>
  <c r="AJ71" i="1" l="1"/>
  <c r="AK71" i="1" s="1"/>
  <c r="AK72" i="1" s="1"/>
  <c r="AH72" i="1"/>
  <c r="AA163" i="1"/>
  <c r="AA158" i="1" s="1"/>
  <c r="AA165" i="1" s="1"/>
  <c r="AL78" i="1"/>
  <c r="AN77" i="1"/>
  <c r="AN78" i="1" s="1"/>
  <c r="AK75" i="1"/>
  <c r="AK76" i="1" s="1"/>
  <c r="AI76" i="1"/>
  <c r="AM80" i="1"/>
  <c r="AO80" i="1" s="1"/>
  <c r="AP80" i="1" s="1"/>
  <c r="AO79" i="1"/>
  <c r="AP79" i="1" s="1"/>
  <c r="AI84" i="1"/>
  <c r="AJ83" i="1"/>
  <c r="AJ74" i="1"/>
  <c r="AK73" i="1"/>
  <c r="AL73" i="1" s="1"/>
  <c r="AL74" i="1" s="1"/>
  <c r="AI74" i="1"/>
  <c r="AI82" i="1"/>
  <c r="AJ81" i="1"/>
  <c r="O166" i="1"/>
  <c r="P40" i="1" s="1"/>
  <c r="Q40" i="1"/>
  <c r="P134" i="1"/>
  <c r="N167" i="1"/>
  <c r="AJ72" i="1" l="1"/>
  <c r="AL71" i="1"/>
  <c r="AL72" i="1" s="1"/>
  <c r="AO78" i="1"/>
  <c r="AP78" i="1" s="1"/>
  <c r="AO77" i="1"/>
  <c r="AP77" i="1" s="1"/>
  <c r="AL75" i="1"/>
  <c r="AL76" i="1" s="1"/>
  <c r="AK74" i="1"/>
  <c r="AJ84" i="1"/>
  <c r="AK83" i="1"/>
  <c r="AL83" i="1" s="1"/>
  <c r="AL84" i="1" s="1"/>
  <c r="AM73" i="1"/>
  <c r="AM74" i="1" s="1"/>
  <c r="AJ82" i="1"/>
  <c r="AK81" i="1"/>
  <c r="P167" i="1"/>
  <c r="Q134" i="1"/>
  <c r="AM71" i="1" l="1"/>
  <c r="AM72" i="1" s="1"/>
  <c r="AN71" i="1"/>
  <c r="AN72" i="1" s="1"/>
  <c r="AO72" i="1" s="1"/>
  <c r="AP72" i="1" s="1"/>
  <c r="AM75" i="1"/>
  <c r="AK84" i="1"/>
  <c r="AM83" i="1"/>
  <c r="AM84" i="1" s="1"/>
  <c r="AN73" i="1"/>
  <c r="AN74" i="1" s="1"/>
  <c r="AO74" i="1" s="1"/>
  <c r="AP74" i="1" s="1"/>
  <c r="AK82" i="1"/>
  <c r="AL81" i="1"/>
  <c r="AL82" i="1" s="1"/>
  <c r="R40" i="1"/>
  <c r="Q167" i="1"/>
  <c r="AO71" i="1" l="1"/>
  <c r="AP71" i="1" s="1"/>
  <c r="AM81" i="1"/>
  <c r="AM82" i="1" s="1"/>
  <c r="AN83" i="1"/>
  <c r="AN84" i="1" s="1"/>
  <c r="AO84" i="1" s="1"/>
  <c r="AP84" i="1" s="1"/>
  <c r="AM76" i="1"/>
  <c r="AN75" i="1"/>
  <c r="AO73" i="1"/>
  <c r="AP73" i="1" s="1"/>
  <c r="AN81" i="1" l="1"/>
  <c r="AN82" i="1" s="1"/>
  <c r="AO82" i="1" s="1"/>
  <c r="AP82" i="1" s="1"/>
  <c r="AO83" i="1"/>
  <c r="AP83" i="1" s="1"/>
  <c r="AN76" i="1"/>
  <c r="AO76" i="1" s="1"/>
  <c r="AP76" i="1" s="1"/>
  <c r="AO75" i="1"/>
  <c r="AP75" i="1" s="1"/>
  <c r="AO81" i="1" l="1"/>
  <c r="AP81" i="1" s="1"/>
  <c r="AB41" i="1"/>
  <c r="AP41" i="1" s="1"/>
  <c r="R42" i="1"/>
  <c r="R98" i="1" s="1"/>
  <c r="V98" i="1" l="1"/>
  <c r="V97" i="1" s="1"/>
  <c r="V111" i="1" s="1"/>
  <c r="U98" i="1"/>
  <c r="T98" i="1"/>
  <c r="T61" i="1" s="1"/>
  <c r="R39" i="1"/>
  <c r="R140" i="1" s="1"/>
  <c r="R141" i="1" s="1"/>
  <c r="AB141" i="1" s="1"/>
  <c r="AP141" i="1" s="1"/>
  <c r="S98" i="1"/>
  <c r="S110" i="1" s="1"/>
  <c r="V66" i="1"/>
  <c r="V64" i="1" s="1"/>
  <c r="V89" i="1" s="1"/>
  <c r="V61" i="1"/>
  <c r="R110" i="1"/>
  <c r="R97" i="1"/>
  <c r="AB42" i="1"/>
  <c r="V110" i="1" l="1"/>
  <c r="T66" i="1"/>
  <c r="T64" i="1" s="1"/>
  <c r="T89" i="1" s="1"/>
  <c r="T95" i="1" s="1"/>
  <c r="T110" i="1"/>
  <c r="R152" i="1"/>
  <c r="AB152" i="1" s="1"/>
  <c r="AP152" i="1" s="1"/>
  <c r="AB98" i="1"/>
  <c r="AP98" i="1" s="1"/>
  <c r="U97" i="1"/>
  <c r="U111" i="1" s="1"/>
  <c r="T97" i="1"/>
  <c r="T111" i="1" s="1"/>
  <c r="U110" i="1"/>
  <c r="AB140" i="1"/>
  <c r="AP140" i="1" s="1"/>
  <c r="S97" i="1"/>
  <c r="S111" i="1" s="1"/>
  <c r="V95" i="1"/>
  <c r="V96" i="1"/>
  <c r="V88" i="1"/>
  <c r="V127" i="1"/>
  <c r="V150" i="1" s="1"/>
  <c r="R111" i="1"/>
  <c r="AP42" i="1"/>
  <c r="AP39" i="1" s="1"/>
  <c r="AB39" i="1"/>
  <c r="R66" i="1"/>
  <c r="R61" i="1"/>
  <c r="R62" i="1" s="1"/>
  <c r="T96" i="1" l="1"/>
  <c r="T94" i="1" s="1"/>
  <c r="T93" i="1" s="1"/>
  <c r="AB110" i="1"/>
  <c r="AP110" i="1" s="1"/>
  <c r="T127" i="1"/>
  <c r="T150" i="1" s="1"/>
  <c r="T88" i="1"/>
  <c r="U66" i="1"/>
  <c r="U64" i="1" s="1"/>
  <c r="U89" i="1" s="1"/>
  <c r="U61" i="1"/>
  <c r="AB65" i="1"/>
  <c r="AB61" i="1" s="1"/>
  <c r="AB111" i="1"/>
  <c r="AP111" i="1" s="1"/>
  <c r="AB97" i="1"/>
  <c r="AP97" i="1" s="1"/>
  <c r="S66" i="1"/>
  <c r="S64" i="1" s="1"/>
  <c r="S89" i="1" s="1"/>
  <c r="S61" i="1"/>
  <c r="S62" i="1" s="1"/>
  <c r="T62" i="1" s="1"/>
  <c r="V94" i="1"/>
  <c r="V93" i="1" s="1"/>
  <c r="V139" i="1"/>
  <c r="V138" i="1" s="1"/>
  <c r="R64" i="1"/>
  <c r="R89" i="1" s="1"/>
  <c r="AP65" i="1" l="1"/>
  <c r="AP61" i="1" s="1"/>
  <c r="T139" i="1"/>
  <c r="T138" i="1" s="1"/>
  <c r="U62" i="1"/>
  <c r="V62" i="1" s="1"/>
  <c r="W62" i="1" s="1"/>
  <c r="X62" i="1" s="1"/>
  <c r="Y62" i="1" s="1"/>
  <c r="Z62" i="1" s="1"/>
  <c r="AA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B66" i="1"/>
  <c r="AP66" i="1" s="1"/>
  <c r="U88" i="1"/>
  <c r="U96" i="1"/>
  <c r="U127" i="1"/>
  <c r="U150" i="1" s="1"/>
  <c r="U95" i="1"/>
  <c r="V114" i="1"/>
  <c r="S127" i="1"/>
  <c r="S150" i="1" s="1"/>
  <c r="S88" i="1"/>
  <c r="S96" i="1"/>
  <c r="S95" i="1"/>
  <c r="T113" i="1"/>
  <c r="V113" i="1"/>
  <c r="T125" i="1"/>
  <c r="T129" i="1" s="1"/>
  <c r="T130" i="1" s="1"/>
  <c r="V125" i="1"/>
  <c r="V129" i="1" s="1"/>
  <c r="V133" i="1" s="1"/>
  <c r="V163" i="1" s="1"/>
  <c r="T114" i="1"/>
  <c r="R96" i="1"/>
  <c r="R127" i="1"/>
  <c r="R88" i="1"/>
  <c r="R95" i="1"/>
  <c r="U94" i="1" l="1"/>
  <c r="U93" i="1" s="1"/>
  <c r="AP62" i="1"/>
  <c r="AB64" i="1"/>
  <c r="AB89" i="1" s="1"/>
  <c r="AB96" i="1"/>
  <c r="AP96" i="1" s="1"/>
  <c r="V135" i="1"/>
  <c r="V162" i="1" s="1"/>
  <c r="V158" i="1" s="1"/>
  <c r="V165" i="1" s="1"/>
  <c r="V130" i="1"/>
  <c r="S94" i="1"/>
  <c r="S125" i="1" s="1"/>
  <c r="S129" i="1" s="1"/>
  <c r="S130" i="1" s="1"/>
  <c r="U139" i="1"/>
  <c r="U138" i="1" s="1"/>
  <c r="T133" i="1"/>
  <c r="T163" i="1" s="1"/>
  <c r="T135" i="1"/>
  <c r="T162" i="1" s="1"/>
  <c r="S139" i="1"/>
  <c r="S138" i="1" s="1"/>
  <c r="R94" i="1"/>
  <c r="R93" i="1" s="1"/>
  <c r="AB95" i="1"/>
  <c r="AB88" i="1"/>
  <c r="AP88" i="1" s="1"/>
  <c r="R139" i="1"/>
  <c r="AB127" i="1"/>
  <c r="AP127" i="1" s="1"/>
  <c r="R150" i="1"/>
  <c r="AB150" i="1" s="1"/>
  <c r="AP150" i="1" s="1"/>
  <c r="U114" i="1" l="1"/>
  <c r="U125" i="1"/>
  <c r="U129" i="1" s="1"/>
  <c r="U135" i="1" s="1"/>
  <c r="U162" i="1" s="1"/>
  <c r="U113" i="1"/>
  <c r="AP64" i="1"/>
  <c r="AP89" i="1" s="1"/>
  <c r="S113" i="1"/>
  <c r="T158" i="1"/>
  <c r="T165" i="1" s="1"/>
  <c r="S93" i="1"/>
  <c r="S114" i="1"/>
  <c r="S133" i="1"/>
  <c r="S163" i="1" s="1"/>
  <c r="S135" i="1"/>
  <c r="S162" i="1" s="1"/>
  <c r="R113" i="1"/>
  <c r="R125" i="1"/>
  <c r="R129" i="1" s="1"/>
  <c r="R114" i="1"/>
  <c r="R138" i="1"/>
  <c r="AB139" i="1"/>
  <c r="AP139" i="1" s="1"/>
  <c r="AB94" i="1"/>
  <c r="AP95" i="1"/>
  <c r="U130" i="1" l="1"/>
  <c r="U133" i="1"/>
  <c r="U163" i="1" s="1"/>
  <c r="U158" i="1" s="1"/>
  <c r="U165" i="1" s="1"/>
  <c r="S158" i="1"/>
  <c r="S165" i="1" s="1"/>
  <c r="AB125" i="1"/>
  <c r="AP125" i="1" s="1"/>
  <c r="AB129" i="1"/>
  <c r="R131" i="1"/>
  <c r="S131" i="1" s="1"/>
  <c r="T131" i="1" s="1"/>
  <c r="U131" i="1" s="1"/>
  <c r="V131" i="1" s="1"/>
  <c r="W131" i="1" s="1"/>
  <c r="X131" i="1" s="1"/>
  <c r="Y131" i="1" s="1"/>
  <c r="Z131" i="1" s="1"/>
  <c r="AA131" i="1" s="1"/>
  <c r="R133" i="1"/>
  <c r="R135" i="1"/>
  <c r="R162" i="1" s="1"/>
  <c r="R130" i="1"/>
  <c r="AB93" i="1"/>
  <c r="AP93" i="1" s="1"/>
  <c r="AP94" i="1"/>
  <c r="AB138" i="1"/>
  <c r="AP138" i="1" s="1"/>
  <c r="AC131" i="1" l="1"/>
  <c r="AD131" i="1" s="1"/>
  <c r="AE131" i="1" s="1"/>
  <c r="AF131" i="1" s="1"/>
  <c r="AG131" i="1" s="1"/>
  <c r="AH131" i="1" s="1"/>
  <c r="AI131" i="1" s="1"/>
  <c r="AJ131" i="1" s="1"/>
  <c r="AK131" i="1" s="1"/>
  <c r="AL131" i="1" s="1"/>
  <c r="AM131" i="1" s="1"/>
  <c r="AN131" i="1" s="1"/>
  <c r="AO131" i="1" s="1"/>
  <c r="AB131" i="1"/>
  <c r="AB162" i="1"/>
  <c r="AP162" i="1" s="1"/>
  <c r="R134" i="1"/>
  <c r="AB133" i="1"/>
  <c r="R163" i="1"/>
  <c r="AB163" i="1" s="1"/>
  <c r="AP163" i="1" s="1"/>
  <c r="T246" i="1"/>
  <c r="U246" i="1" s="1"/>
  <c r="V246" i="1" s="1"/>
  <c r="W246" i="1" s="1"/>
  <c r="X246" i="1" s="1"/>
  <c r="Y246" i="1" s="1"/>
  <c r="Z246" i="1" s="1"/>
  <c r="AA246" i="1" s="1"/>
  <c r="AB130" i="1"/>
  <c r="AP129" i="1"/>
  <c r="AP131" i="1" l="1"/>
  <c r="R167" i="1"/>
  <c r="S134" i="1"/>
  <c r="AP133" i="1"/>
  <c r="C248" i="1"/>
  <c r="C245" i="1" s="1"/>
  <c r="B12" i="1" s="1"/>
  <c r="R158" i="1"/>
  <c r="AB158" i="1" l="1"/>
  <c r="AP158" i="1" s="1"/>
  <c r="R165" i="1"/>
  <c r="R166" i="1" s="1"/>
  <c r="S166" i="1" s="1"/>
  <c r="T166" i="1" s="1"/>
  <c r="T134" i="1"/>
  <c r="S167" i="1"/>
  <c r="T167" i="1" l="1"/>
  <c r="U134" i="1"/>
  <c r="AB165" i="1"/>
  <c r="AP165" i="1" s="1"/>
  <c r="S40" i="1" l="1"/>
  <c r="V134" i="1"/>
  <c r="U167" i="1"/>
  <c r="V167" i="1" l="1"/>
  <c r="W134" i="1"/>
  <c r="T40" i="1"/>
  <c r="U166" i="1" l="1"/>
  <c r="U40" i="1"/>
  <c r="X134" i="1"/>
  <c r="W167" i="1"/>
  <c r="X167" i="1" l="1"/>
  <c r="Y134" i="1"/>
  <c r="V40" i="1"/>
  <c r="V166" i="1"/>
  <c r="W166" i="1" l="1"/>
  <c r="W40" i="1"/>
  <c r="Z134" i="1"/>
  <c r="Y167" i="1"/>
  <c r="Z167" i="1" l="1"/>
  <c r="AA134" i="1"/>
  <c r="X40" i="1"/>
  <c r="X166" i="1"/>
  <c r="Y166" i="1" l="1"/>
  <c r="Y40" i="1"/>
  <c r="AC134" i="1"/>
  <c r="AB134" i="1"/>
  <c r="AA167" i="1"/>
  <c r="AC167" i="1" l="1"/>
  <c r="AD134" i="1"/>
  <c r="Z40" i="1"/>
  <c r="Z166" i="1"/>
  <c r="AE134" i="1" l="1"/>
  <c r="AD167" i="1"/>
  <c r="AA166" i="1"/>
  <c r="AA40" i="1"/>
  <c r="AB166" i="1" l="1"/>
  <c r="AC40" i="1" s="1"/>
  <c r="AC166" i="1"/>
  <c r="AE167" i="1"/>
  <c r="AF134" i="1"/>
  <c r="AG134" i="1" l="1"/>
  <c r="AF167" i="1"/>
  <c r="AD40" i="1"/>
  <c r="AD166" i="1"/>
  <c r="AE166" i="1" l="1"/>
  <c r="AE40" i="1"/>
  <c r="AG167" i="1"/>
  <c r="AH134" i="1"/>
  <c r="AI134" i="1" l="1"/>
  <c r="AH167" i="1"/>
  <c r="AF40" i="1"/>
  <c r="AF166" i="1"/>
  <c r="AG40" i="1" l="1"/>
  <c r="AG166" i="1"/>
  <c r="AI167" i="1"/>
  <c r="AJ134" i="1"/>
  <c r="AK134" i="1" l="1"/>
  <c r="AJ167" i="1"/>
  <c r="AH40" i="1"/>
  <c r="AH166" i="1"/>
  <c r="AI166" i="1" l="1"/>
  <c r="AI40" i="1"/>
  <c r="AK167" i="1"/>
  <c r="AL134" i="1"/>
  <c r="AL167" i="1" l="1"/>
  <c r="AM134" i="1"/>
  <c r="AJ40" i="1"/>
  <c r="AJ166" i="1"/>
  <c r="AN134" i="1" l="1"/>
  <c r="AM167" i="1"/>
  <c r="AK166" i="1"/>
  <c r="AK40" i="1"/>
  <c r="AL40" i="1" l="1"/>
  <c r="AL166" i="1"/>
  <c r="AO134" i="1"/>
  <c r="AP134" i="1" s="1"/>
  <c r="AN167" i="1"/>
  <c r="AM166" i="1" l="1"/>
  <c r="AM40" i="1"/>
  <c r="AN40" i="1" l="1"/>
  <c r="AN166" i="1"/>
  <c r="AO1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0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======
</t>
        </r>
        <r>
          <rPr>
            <sz val="10"/>
            <color rgb="FF000000"/>
            <rFont val="Arial"/>
            <family val="2"/>
          </rPr>
          <t xml:space="preserve">ID#AAAAzD60IyA
</t>
        </r>
        <r>
          <rPr>
            <sz val="10"/>
            <color rgb="FF000000"/>
            <rFont val="Arial"/>
            <family val="2"/>
          </rPr>
          <t xml:space="preserve">    (2023-06-18 18:35:50)
</t>
        </r>
        <r>
          <rPr>
            <sz val="10"/>
            <color rgb="FF000000"/>
            <rFont val="Arial"/>
            <family val="2"/>
          </rPr>
          <t>должна быть чуть больше или равна тому, что рассчитано выше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FoQCHMJmpH/PZcr4143cf+FtO5w=="/>
    </ext>
  </extLst>
</comments>
</file>

<file path=xl/sharedStrings.xml><?xml version="1.0" encoding="utf-8"?>
<sst xmlns="http://schemas.openxmlformats.org/spreadsheetml/2006/main" count="454" uniqueCount="197">
  <si>
    <t>Финмодель магазина WildBerries</t>
  </si>
  <si>
    <t>Итого 1 год</t>
  </si>
  <si>
    <t>Итого 2 год</t>
  </si>
  <si>
    <t>Итого 3 год</t>
  </si>
  <si>
    <t>Итого</t>
  </si>
  <si>
    <t>1. ФИНАНСОВАЯ МОДЕЛЬ</t>
  </si>
  <si>
    <t>2. РАСХОДЫ В % ОТ ВЫРУЧКИ</t>
  </si>
  <si>
    <t>Продажи после закупки</t>
  </si>
  <si>
    <t>Начальные инвестиции (заем учредителя)</t>
  </si>
  <si>
    <t>5 000 000</t>
  </si>
  <si>
    <t xml:space="preserve">Процент возвратов </t>
  </si>
  <si>
    <t>Доля инвестора 
(расчет от стоимости компании через год с дисконтом)</t>
  </si>
  <si>
    <t>Самовыкупы</t>
  </si>
  <si>
    <t>1 месяц</t>
  </si>
  <si>
    <t>Вознаграждение WB</t>
  </si>
  <si>
    <t>2 месяц</t>
  </si>
  <si>
    <t>Доля инвестора</t>
  </si>
  <si>
    <t>Доп.Услуги WB</t>
  </si>
  <si>
    <t>3 месяц</t>
  </si>
  <si>
    <t>Окупаемость (мес)</t>
  </si>
  <si>
    <t>Коэффициент наценки</t>
  </si>
  <si>
    <t>4 месяц</t>
  </si>
  <si>
    <t>Внутренняя норма рентабельности ( IRR )</t>
  </si>
  <si>
    <t>Фулфилмент (от закупа)</t>
  </si>
  <si>
    <t xml:space="preserve">5 месяц </t>
  </si>
  <si>
    <t>Коэффициент вывода дивидендов</t>
  </si>
  <si>
    <t>Доставка из Китая (от закупа)</t>
  </si>
  <si>
    <t>Налог с дохода (УСН)</t>
  </si>
  <si>
    <t>3. Вложения при старте</t>
  </si>
  <si>
    <t>4. Постоянные расходы</t>
  </si>
  <si>
    <t>Капитальные вложения</t>
  </si>
  <si>
    <t>Оклад собственника</t>
  </si>
  <si>
    <t>Ноутбук</t>
  </si>
  <si>
    <t xml:space="preserve"> </t>
  </si>
  <si>
    <t>ФОТ (месяц)</t>
  </si>
  <si>
    <t>Аренда склада</t>
  </si>
  <si>
    <t>Консультации и аналитика</t>
  </si>
  <si>
    <t>Прочие вложения</t>
  </si>
  <si>
    <t>Банковские расходы</t>
  </si>
  <si>
    <t>Первая закупка, доставка и фулфилмент</t>
  </si>
  <si>
    <t>Связь, ПО и сервисы аналитики</t>
  </si>
  <si>
    <t>Упаковка, брендирование</t>
  </si>
  <si>
    <t>Юридичекие и бухгалтерские услуги</t>
  </si>
  <si>
    <t>5. Цены закупа и реализации</t>
  </si>
  <si>
    <t>Средняя цена закупки</t>
  </si>
  <si>
    <t>Средний чек</t>
  </si>
  <si>
    <t>Группа товара 1 (https://www.wildberries.ru/catalog/0/search.aspx?search=нижнее%20белье) - https://www.alibaba.com/picture/search.htm?imageType=oss&amp;escapeQp=true&amp;imageAddress=/icbuimgsearch/jtYkNhkTjd1687100015093.jpg&amp;sourceFrom=imageupload&amp;uploadType=uploadBtn</t>
  </si>
  <si>
    <t>Группа товара 2 (https://www.wildberries.ru/catalog/143555214/detail.aspx) - https://www.alibaba.com/picture/search.htm?imageType=oss&amp;escapeQp=true&amp;imageAddress=/icbuimgsearch/HCPSpZZGGc1687114619103.jpg&amp;sourceFrom=imageupload&amp;uploadType=uploadBtn</t>
  </si>
  <si>
    <t>Группа товара 3 (https://www.wildberries.ru/catalog/19233344/detail.aspx) - https://www.alibaba.com/product-detail/Seamless-women-s-Large-Size-Maternity_1600561506251.html?spm=a2700.picsearch.offer-list.245.7a5f5f93Wt5Tld</t>
  </si>
  <si>
    <t>Группа товара 4(https://www.wildberries.ru/catalog/142807020/detail.aspx) - https://www.alibaba.com/product-detail/Classic-Lace-Attached-E-Cup-Size_60737441064.html?spm=a2700.picsearch.offer-list.29.3ce35f93UG3bdz</t>
  </si>
  <si>
    <t>Группа товара 5 (https://www.wildberries.ru/catalog/142807020/detail.aspx) - https://www.alibaba.com/product-detail/Classic-Lace-Attached-E-Cup-Size_60737441064.html?spm=a2700.picsearch.offer-list.29.3ce35f93UG3bdz</t>
  </si>
  <si>
    <t>Группа товара 6 (https://www.wildberries.ru/catalog/153278625/detail.aspx?targetUrl=SG) - https://www.alibaba.com/product-detail/Short-Kimono-Women-with-Gold-Glitter_1600169146372.html?spm=a2700.galleryofferlist.normal_offer.d_title.55a23841mj8dzX</t>
  </si>
  <si>
    <t>Группа товара 7 (https://www.wildberries.ru/catalog/138930715/detail.aspx) - https://www.alibaba.com/product-detail/Wholes-cheap-price-100-cotton-sexy_1600776352331.html?spm=a2700.picsearch.offer-list.46.549a5f93NiRd7T</t>
  </si>
  <si>
    <t>Группа товара 8 (https://www.wildberries.ru/catalog/160938456/detail.aspx) - https://www.alibaba.com/product-detail/Sexy-lingerie-set-three-point-sexy_1600286034089.html?spm=a2700.picsearch.offer-list.145.54ea5f93QuTOnH</t>
  </si>
  <si>
    <t>Группа товара 9 (https://www.wildberries.ru/catalog/34146829/detail.aspx) - https://www.alibaba.com/product-detail/Ice-Silk-Thongs-For-Women-Panties_1600566805992.html?spm=a2700.picsearch.offer-list.13.74855f93M24CQI</t>
  </si>
  <si>
    <t>Группа товара 10 (https://www.wildberries.ru/catalog/111931264/detail.aspx) - https://www.alibaba.com/product-detail/Hot-selling-pregnant-women-after-delivery_1600342740387.html?spm=a2700.picsearch.offer-list.13.17ab5f935QEmHm</t>
  </si>
  <si>
    <t>3.План по закупу товара</t>
  </si>
  <si>
    <t>Можно закупить на сумму</t>
  </si>
  <si>
    <t>На сумму</t>
  </si>
  <si>
    <t>Реализовано товара</t>
  </si>
  <si>
    <t>Остаток товара на складе</t>
  </si>
  <si>
    <t>4. План по продажам</t>
  </si>
  <si>
    <t>5. План по прибылям и убыткам</t>
  </si>
  <si>
    <t>Выручка</t>
  </si>
  <si>
    <t>Продажи</t>
  </si>
  <si>
    <t>Возвраты</t>
  </si>
  <si>
    <t>Расходы</t>
  </si>
  <si>
    <t>Переменные расходы</t>
  </si>
  <si>
    <t>Вознаграждение Wildberries</t>
  </si>
  <si>
    <t>Дополнительные услуги WildBerries</t>
  </si>
  <si>
    <t>Себестоимость проданного товара</t>
  </si>
  <si>
    <t>Товары группы 1</t>
  </si>
  <si>
    <t>Товары группы 2</t>
  </si>
  <si>
    <t>Товары группы 3</t>
  </si>
  <si>
    <t>Товары группы 4</t>
  </si>
  <si>
    <t>Товары группы 5</t>
  </si>
  <si>
    <t>Товары группы 6</t>
  </si>
  <si>
    <t>Товары группы 7</t>
  </si>
  <si>
    <t>Товары группы 8</t>
  </si>
  <si>
    <t>Товары группы 9</t>
  </si>
  <si>
    <t>Товары группы 10</t>
  </si>
  <si>
    <t>Возврат себестоимости самовыкупа</t>
  </si>
  <si>
    <t>Возврат себестоимости  возврата</t>
  </si>
  <si>
    <t>Фулфилмент</t>
  </si>
  <si>
    <t>Доставка из Китая</t>
  </si>
  <si>
    <t>Маржинальность</t>
  </si>
  <si>
    <t>Постоянные расходы</t>
  </si>
  <si>
    <t>Оплата труда сотрудников</t>
  </si>
  <si>
    <t>Хоз. расходы</t>
  </si>
  <si>
    <r>
      <rPr>
        <b/>
        <sz val="18"/>
        <color rgb="FF000000"/>
        <rFont val="Comfortaa"/>
      </rPr>
      <t xml:space="preserve">EBITDA </t>
    </r>
    <r>
      <rPr>
        <b/>
        <sz val="10"/>
        <color rgb="FF000000"/>
        <rFont val="Comfortaa"/>
      </rPr>
      <t>(Прибыль до уплаты налогов, долгов по кредитам, износа и амортизации)</t>
    </r>
  </si>
  <si>
    <t>Выплата процентов по кредитам и займам</t>
  </si>
  <si>
    <t>Налоги (от оборота)</t>
  </si>
  <si>
    <t>Чистая прибыль</t>
  </si>
  <si>
    <t>Рентабельность</t>
  </si>
  <si>
    <t>Накопленная чистая прибыль</t>
  </si>
  <si>
    <t>Выплата инвестору</t>
  </si>
  <si>
    <t>Выплачено инвестору накопительным итогом</t>
  </si>
  <si>
    <t>Выплата дивидендов собвтвенника</t>
  </si>
  <si>
    <t>6. План по ДДС</t>
  </si>
  <si>
    <t>Операционная деятельность</t>
  </si>
  <si>
    <t>Полученная от WB выручка</t>
  </si>
  <si>
    <t>Закупка товара в Китае</t>
  </si>
  <si>
    <t>Налоги</t>
  </si>
  <si>
    <t>Инвестиционная деятельность</t>
  </si>
  <si>
    <t>Покупка ОС</t>
  </si>
  <si>
    <t>Продажа ОС</t>
  </si>
  <si>
    <t>Финансовая деятельность</t>
  </si>
  <si>
    <t>Получение кредитов/займов</t>
  </si>
  <si>
    <t>Выплаты кредитов/займов</t>
  </si>
  <si>
    <t>Ввод инвестиций</t>
  </si>
  <si>
    <t>Вывод чистой прибыли</t>
  </si>
  <si>
    <t>Cash Flow</t>
  </si>
  <si>
    <t>Накопленный остаток</t>
  </si>
  <si>
    <t>Окупаемость</t>
  </si>
  <si>
    <t>7. Расчёт стоимости компании</t>
  </si>
  <si>
    <t>Стоимость компании   /</t>
  </si>
  <si>
    <t>2 годовых EBITDA</t>
  </si>
  <si>
    <t>Дисконт (вероятность ошибки)</t>
  </si>
  <si>
    <t>Стоимость доли</t>
  </si>
  <si>
    <t>8. Расчёт точки безубыточности</t>
  </si>
  <si>
    <t>Объем продаж</t>
  </si>
  <si>
    <t>В 1й год</t>
  </si>
  <si>
    <t>ДОХОДЫ</t>
  </si>
  <si>
    <t>ОПЕРАЦИОННЫЕ РАСХОДЫ</t>
  </si>
  <si>
    <t>Всего оборот</t>
  </si>
  <si>
    <t>Оборот в месяц</t>
  </si>
  <si>
    <t>EBITDA</t>
  </si>
  <si>
    <t>IRR</t>
  </si>
  <si>
    <t>Сумма инвестиций</t>
  </si>
  <si>
    <t>Возврат в 1й год</t>
  </si>
  <si>
    <t>Возврат во 2й год</t>
  </si>
  <si>
    <t>Возврат в 3й год</t>
  </si>
  <si>
    <t>#REF!</t>
  </si>
  <si>
    <t>Периоды</t>
  </si>
  <si>
    <t>1 год</t>
  </si>
  <si>
    <t>Дата</t>
  </si>
  <si>
    <t>Продажи, кол-во</t>
  </si>
  <si>
    <t>Наличие, шт</t>
  </si>
  <si>
    <t>Базовая цена</t>
  </si>
  <si>
    <t>Цена</t>
  </si>
  <si>
    <t>Скидка</t>
  </si>
  <si>
    <t>Цена со скидкой</t>
  </si>
  <si>
    <t>СПП</t>
  </si>
  <si>
    <t>Цена СПП, ₽</t>
  </si>
  <si>
    <t>Сумма продаж</t>
  </si>
  <si>
    <t>Коммент.</t>
  </si>
  <si>
    <t>Рейтинг</t>
  </si>
  <si>
    <t>2023-06-23</t>
  </si>
  <si>
    <t/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</si>
  <si>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</si>
  <si>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</si>
  <si>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</si>
  <si>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</si>
  <si>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</si>
  <si>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</si>
  <si>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</si>
  <si>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1 092 304,00 ₽</t>
  </si>
  <si>
    <t>0,00 ₽</t>
  </si>
  <si>
    <t>1 780 247,00 ₽</t>
  </si>
  <si>
    <t>254 321,00 ₽</t>
  </si>
  <si>
    <t>1 436 109,00 ₽</t>
  </si>
  <si>
    <t>205 158,43 ₽</t>
  </si>
  <si>
    <t>\</t>
  </si>
  <si>
    <t>1 851 377,00 ₽</t>
  </si>
  <si>
    <t>264 482,43 ₽</t>
  </si>
  <si>
    <t>1 506 791,00 ₽</t>
  </si>
  <si>
    <t>215 255,86 ₽</t>
  </si>
  <si>
    <t>2 406 358,00 ₽</t>
  </si>
  <si>
    <t>343 765,43 ₽</t>
  </si>
  <si>
    <t>8 229 348,00 ₽</t>
  </si>
  <si>
    <t>1 175 621,14 ₽</t>
  </si>
  <si>
    <t>8 229 349,00 ₽</t>
  </si>
  <si>
    <t>1,00 ₽</t>
  </si>
  <si>
    <t>Продажи за 7дней</t>
  </si>
  <si>
    <t>Продажи за 30 дней</t>
  </si>
  <si>
    <t>Средняя продажа за день</t>
  </si>
  <si>
    <t>Средняя продажа за месяц</t>
  </si>
  <si>
    <t>выходный на средний уровень продаж</t>
  </si>
  <si>
    <t>Средняя за 7 дней</t>
  </si>
  <si>
    <t>Средняя за день</t>
  </si>
  <si>
    <t>Средняя за месяц</t>
  </si>
  <si>
    <t>Средняя за 7 дн</t>
  </si>
  <si>
    <t>Средняя за 1 д</t>
  </si>
  <si>
    <t>Средняя за 1м</t>
  </si>
  <si>
    <t>средняя 7 дн</t>
  </si>
  <si>
    <t>средняя за 1д</t>
  </si>
  <si>
    <t>средняя за 1 м</t>
  </si>
  <si>
    <t>средняя за 7 дн</t>
  </si>
  <si>
    <t>средняя за 1 д</t>
  </si>
  <si>
    <t>средняя за 1м</t>
  </si>
  <si>
    <t>сред за 7</t>
  </si>
  <si>
    <t>ср за 1д</t>
  </si>
  <si>
    <t>ср за 1 м</t>
  </si>
  <si>
    <t>3 мес</t>
  </si>
  <si>
    <t>6мес</t>
  </si>
  <si>
    <t>2 год</t>
  </si>
  <si>
    <t>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</si>
</sst>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0">
    <font>
      <sz val="10"/>
      <color rgb="FF000000"/>
      <name val="Arial"/>
      <scheme val="minor"/>
    </font>
    <font>
      <b/>
      <sz val="15"/>
      <color rgb="FF000000"/>
      <name val="Comfortaa"/>
    </font>
    <font>
      <b/>
      <sz val="24"/>
      <color rgb="FF000000"/>
      <name val="Comfortaa"/>
    </font>
    <font>
      <b/>
      <sz val="12"/>
      <color theme="1"/>
      <name val="Comfortaa"/>
    </font>
    <font>
      <b/>
      <sz val="14"/>
      <color theme="1"/>
      <name val="Comfortaa"/>
    </font>
    <font>
      <sz val="14"/>
      <color theme="1"/>
      <name val="Comfortaa"/>
    </font>
    <font>
      <b/>
      <sz val="18"/>
      <color rgb="FF000000"/>
      <name val="Comfortaa"/>
    </font>
    <font>
      <b/>
      <sz val="18"/>
      <color rgb="FFFFFFFF"/>
      <name val="Comfortaa"/>
    </font>
    <font>
      <sz val="11"/>
      <color theme="1"/>
      <name val="Comfortaa"/>
    </font>
    <font>
      <b/>
      <sz val="11"/>
      <color rgb="FF000000"/>
      <name val="Comfortaa"/>
    </font>
    <font>
      <b/>
      <sz val="20"/>
      <color rgb="FF000000"/>
      <name val="Comfortaa"/>
    </font>
    <font>
      <b/>
      <sz val="16"/>
      <color rgb="FF000000"/>
      <name val="Comfortaa"/>
    </font>
    <font>
      <b/>
      <sz val="11"/>
      <color theme="1"/>
      <name val="Comfortaa"/>
    </font>
    <font>
      <sz val="20"/>
      <color theme="1"/>
      <name val="Comfortaa"/>
    </font>
    <font>
      <b/>
      <sz val="20"/>
      <color theme="1"/>
      <name val="Comfortaa"/>
    </font>
    <font>
      <sz val="11"/>
      <color rgb="FF000000"/>
      <name val="Comfortaa"/>
    </font>
    <font>
      <sz val="10"/>
      <color theme="1"/>
      <name val="Arial"/>
      <family val="2"/>
      <scheme val="minor"/>
    </font>
    <font>
      <b/>
      <sz val="14"/>
      <color rgb="FF000000"/>
      <name val="Comfortaa"/>
    </font>
    <font>
      <sz val="11"/>
      <color rgb="FF000000"/>
      <name val="Docs-Comfortaa"/>
    </font>
    <font>
      <b/>
      <sz val="12"/>
      <color rgb="FF000000"/>
      <name val="Comfortaa"/>
    </font>
    <font>
      <sz val="11"/>
      <color rgb="FF000000"/>
      <name val="Inconsolata"/>
    </font>
    <font>
      <b/>
      <sz val="11"/>
      <color rgb="FF000000"/>
      <name val="Docs-Comfortaa"/>
    </font>
    <font>
      <sz val="10"/>
      <color theme="1"/>
      <name val="Comfortaa"/>
    </font>
    <font>
      <b/>
      <sz val="10"/>
      <color theme="1"/>
      <name val="Comfortaa"/>
    </font>
    <font>
      <sz val="10"/>
      <color rgb="FF000000"/>
      <name val="Comfortaa"/>
    </font>
    <font>
      <b/>
      <sz val="10"/>
      <color rgb="FF000000"/>
      <name val="Comfortaa"/>
    </font>
    <font>
      <sz val="10"/>
      <color rgb="FF000000"/>
      <name val="Arial"/>
      <family val="2"/>
    </font>
    <font>
      <sz val="10"/>
      <color rgb="FF000000"/>
      <name val="Arial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84">
    <xf numFmtId="0" fontId="0" fillId="0" borderId="0" xfId="0"/>
    <xf numFmtId="3" fontId="1" fillId="2" borderId="0" xfId="0" applyNumberFormat="1" applyFont="1" applyFill="1"/>
    <xf numFmtId="3" fontId="2" fillId="2" borderId="0" xfId="0" applyNumberFormat="1" applyFont="1" applyFill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/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/>
    </xf>
    <xf numFmtId="0" fontId="8" fillId="0" borderId="0" xfId="0" applyFont="1"/>
    <xf numFmtId="164" fontId="8" fillId="4" borderId="0" xfId="0" applyNumberFormat="1" applyFont="1" applyFill="1"/>
    <xf numFmtId="3" fontId="9" fillId="0" borderId="0" xfId="0" applyNumberFormat="1" applyFont="1"/>
    <xf numFmtId="9" fontId="8" fillId="0" borderId="0" xfId="0" applyNumberFormat="1" applyFont="1"/>
    <xf numFmtId="9" fontId="8" fillId="4" borderId="0" xfId="0" applyNumberFormat="1" applyFont="1" applyFill="1"/>
    <xf numFmtId="9" fontId="8" fillId="4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8" fillId="4" borderId="0" xfId="0" applyFont="1" applyFill="1"/>
    <xf numFmtId="10" fontId="8" fillId="0" borderId="0" xfId="0" applyNumberFormat="1" applyFont="1" applyAlignment="1">
      <alignment horizontal="center" wrapText="1"/>
    </xf>
    <xf numFmtId="3" fontId="10" fillId="2" borderId="0" xfId="0" applyNumberFormat="1" applyFont="1" applyFill="1"/>
    <xf numFmtId="3" fontId="11" fillId="2" borderId="0" xfId="0" applyNumberFormat="1" applyFont="1" applyFill="1" applyAlignment="1">
      <alignment wrapText="1"/>
    </xf>
    <xf numFmtId="3" fontId="10" fillId="0" borderId="0" xfId="0" applyNumberFormat="1" applyFont="1" applyAlignment="1">
      <alignment wrapText="1"/>
    </xf>
    <xf numFmtId="3" fontId="8" fillId="6" borderId="0" xfId="0" applyNumberFormat="1" applyFont="1" applyFill="1"/>
    <xf numFmtId="3" fontId="8" fillId="0" borderId="0" xfId="0" applyNumberFormat="1" applyFont="1"/>
    <xf numFmtId="3" fontId="8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16" fillId="0" borderId="0" xfId="0" applyFont="1"/>
    <xf numFmtId="3" fontId="10" fillId="2" borderId="0" xfId="0" applyNumberFormat="1" applyFont="1" applyFill="1" applyAlignment="1">
      <alignment wrapText="1"/>
    </xf>
    <xf numFmtId="3" fontId="17" fillId="2" borderId="0" xfId="0" applyNumberFormat="1" applyFont="1" applyFill="1" applyAlignment="1">
      <alignment wrapText="1"/>
    </xf>
    <xf numFmtId="3" fontId="17" fillId="0" borderId="0" xfId="0" applyNumberFormat="1" applyFont="1" applyAlignment="1">
      <alignment wrapText="1"/>
    </xf>
    <xf numFmtId="3" fontId="9" fillId="2" borderId="0" xfId="0" applyNumberFormat="1" applyFont="1" applyFill="1" applyAlignment="1">
      <alignment wrapText="1"/>
    </xf>
    <xf numFmtId="3" fontId="9" fillId="0" borderId="0" xfId="0" applyNumberFormat="1" applyFont="1" applyAlignment="1">
      <alignment wrapText="1"/>
    </xf>
    <xf numFmtId="3" fontId="18" fillId="4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wrapText="1"/>
    </xf>
    <xf numFmtId="3" fontId="19" fillId="2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20" fillId="5" borderId="0" xfId="0" applyNumberFormat="1" applyFont="1" applyFill="1"/>
    <xf numFmtId="3" fontId="21" fillId="5" borderId="0" xfId="0" applyNumberFormat="1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/>
    <xf numFmtId="10" fontId="8" fillId="0" borderId="0" xfId="0" applyNumberFormat="1" applyFont="1"/>
    <xf numFmtId="3" fontId="15" fillId="0" borderId="0" xfId="0" applyNumberFormat="1" applyFont="1"/>
    <xf numFmtId="10" fontId="6" fillId="2" borderId="0" xfId="0" applyNumberFormat="1" applyFont="1" applyFill="1" applyAlignment="1">
      <alignment wrapText="1"/>
    </xf>
    <xf numFmtId="10" fontId="17" fillId="2" borderId="0" xfId="0" applyNumberFormat="1" applyFont="1" applyFill="1" applyAlignment="1">
      <alignment wrapText="1"/>
    </xf>
    <xf numFmtId="10" fontId="17" fillId="0" borderId="0" xfId="0" applyNumberFormat="1" applyFont="1" applyAlignment="1">
      <alignment wrapText="1"/>
    </xf>
    <xf numFmtId="3" fontId="8" fillId="3" borderId="0" xfId="0" applyNumberFormat="1" applyFont="1" applyFill="1"/>
    <xf numFmtId="3" fontId="12" fillId="3" borderId="0" xfId="0" applyNumberFormat="1" applyFont="1" applyFill="1"/>
    <xf numFmtId="3" fontId="12" fillId="5" borderId="0" xfId="0" applyNumberFormat="1" applyFont="1" applyFill="1"/>
    <xf numFmtId="3" fontId="8" fillId="5" borderId="0" xfId="0" applyNumberFormat="1" applyFont="1" applyFill="1"/>
    <xf numFmtId="10" fontId="12" fillId="0" borderId="0" xfId="0" applyNumberFormat="1" applyFont="1"/>
    <xf numFmtId="9" fontId="12" fillId="4" borderId="0" xfId="0" applyNumberFormat="1" applyFont="1" applyFill="1"/>
    <xf numFmtId="3" fontId="12" fillId="4" borderId="0" xfId="0" applyNumberFormat="1" applyFont="1" applyFill="1"/>
    <xf numFmtId="0" fontId="8" fillId="4" borderId="0" xfId="0" applyFont="1" applyFill="1" applyAlignment="1">
      <alignment wrapText="1"/>
    </xf>
    <xf numFmtId="9" fontId="12" fillId="0" borderId="0" xfId="0" applyNumberFormat="1" applyFont="1"/>
    <xf numFmtId="9" fontId="12" fillId="0" borderId="0" xfId="0" applyNumberFormat="1" applyFont="1" applyAlignment="1">
      <alignment horizontal="center"/>
    </xf>
    <xf numFmtId="0" fontId="24" fillId="0" borderId="0" xfId="0" applyFont="1"/>
    <xf numFmtId="10" fontId="24" fillId="0" borderId="0" xfId="0" applyNumberFormat="1" applyFont="1"/>
    <xf numFmtId="3" fontId="24" fillId="0" borderId="0" xfId="0" applyNumberFormat="1" applyFont="1"/>
    <xf numFmtId="3" fontId="25" fillId="0" borderId="0" xfId="0" applyNumberFormat="1" applyFont="1"/>
    <xf numFmtId="0" fontId="25" fillId="0" borderId="0" xfId="0" applyFont="1"/>
    <xf numFmtId="3" fontId="17" fillId="2" borderId="0" xfId="0" applyNumberFormat="1" applyFont="1" applyFill="1"/>
    <xf numFmtId="0" fontId="8" fillId="0" borderId="0" xfId="0" applyFont="1"/>
    <xf numFmtId="0" fontId="0" fillId="0" borderId="0" xfId="0"/>
    <xf numFmtId="3" fontId="10" fillId="2" borderId="0" xfId="0" applyNumberFormat="1" applyFont="1" applyFill="1"/>
    <xf numFmtId="3" fontId="6" fillId="2" borderId="0" xfId="0" applyNumberFormat="1" applyFont="1" applyFill="1"/>
    <xf numFmtId="0" fontId="8" fillId="0" borderId="0" xfId="0" applyFont="1" applyAlignment="1">
      <alignment wrapText="1"/>
    </xf>
    <xf numFmtId="10" fontId="8" fillId="5" borderId="0" xfId="0" applyNumberFormat="1" applyFont="1" applyFill="1" applyAlignment="1">
      <alignment horizontal="center"/>
    </xf>
    <xf numFmtId="43" fontId="0" fillId="0" borderId="0" xfId="1" applyFont="1"/>
    <xf numFmtId="1" fontId="0" fillId="0" borderId="0" xfId="0" applyNumberFormat="1"/>
    <xf numFmtId="1" fontId="8" fillId="0" borderId="0" xfId="0" applyNumberFormat="1" applyFont="1"/>
    <xf numFmtId="0" fontId="28" fillId="0" borderId="0" xfId="0" applyFont="1"/>
    <xf numFmtId="0" fontId="29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K1043"/>
  <sheetViews>
    <sheetView showGridLines="0" tabSelected="1" zoomScale="51" zoomScaleNormal="100" workbookViewId="0">
      <pane ySplit="1" topLeftCell="A2" activePane="bottomLeft" state="frozen"/>
      <selection pane="bottomLeft" activeCell="P133" sqref="P133"/>
    </sheetView>
  </sheetViews>
  <sheetFormatPr defaultColWidth="12.6640625" defaultRowHeight="15" customHeight="1" outlineLevelRow="2" outlineLevelCol="1"/>
  <cols>
    <col min="1" max="1" width="56.77734375" customWidth="1"/>
    <col min="2" max="2" width="14.77734375" customWidth="1"/>
    <col min="3" max="13" width="14.77734375" customWidth="1" outlineLevel="1"/>
    <col min="14" max="14" width="14.6640625" customWidth="1" outlineLevel="1"/>
    <col min="15" max="15" width="16.77734375" customWidth="1"/>
    <col min="16" max="27" width="14.21875" bestFit="1" customWidth="1" outlineLevel="1"/>
    <col min="28" max="28" width="19.6640625" customWidth="1"/>
    <col min="29" max="40" width="12.6640625" hidden="1" customWidth="1" outlineLevel="1"/>
    <col min="41" max="41" width="19.6640625" customWidth="1" collapsed="1"/>
    <col min="42" max="42" width="14.44140625" customWidth="1"/>
  </cols>
  <sheetData>
    <row r="1" spans="1:62" ht="30">
      <c r="A1" s="1" t="s">
        <v>0</v>
      </c>
      <c r="B1" s="72" t="s">
        <v>133</v>
      </c>
      <c r="C1" s="72">
        <v>1</v>
      </c>
      <c r="D1" s="72">
        <v>2</v>
      </c>
      <c r="E1" s="72">
        <v>3</v>
      </c>
      <c r="F1" s="72">
        <v>4</v>
      </c>
      <c r="G1" s="72">
        <v>5</v>
      </c>
      <c r="H1" s="72">
        <v>6</v>
      </c>
      <c r="I1" s="72">
        <v>7</v>
      </c>
      <c r="J1" s="72">
        <v>8</v>
      </c>
      <c r="K1" s="72">
        <v>9</v>
      </c>
      <c r="L1" s="72">
        <v>10</v>
      </c>
      <c r="M1" s="72">
        <v>11</v>
      </c>
      <c r="N1" s="72">
        <v>12</v>
      </c>
      <c r="O1" s="2" t="s">
        <v>134</v>
      </c>
      <c r="P1" s="72">
        <v>1</v>
      </c>
      <c r="Q1" s="72">
        <v>2</v>
      </c>
      <c r="R1" s="72">
        <v>3</v>
      </c>
      <c r="S1" s="72">
        <v>4</v>
      </c>
      <c r="T1" s="72">
        <v>5</v>
      </c>
      <c r="U1" s="72">
        <v>6</v>
      </c>
      <c r="V1" s="72">
        <v>7</v>
      </c>
      <c r="W1" s="72">
        <v>8</v>
      </c>
      <c r="X1" s="72">
        <v>9</v>
      </c>
      <c r="Y1" s="72">
        <v>10</v>
      </c>
      <c r="Z1" s="72">
        <v>11</v>
      </c>
      <c r="AA1" s="72">
        <v>12</v>
      </c>
      <c r="AB1" s="2" t="s">
        <v>195</v>
      </c>
      <c r="AC1" s="72">
        <v>1</v>
      </c>
      <c r="AD1" s="72">
        <v>2</v>
      </c>
      <c r="AE1" s="72">
        <v>3</v>
      </c>
      <c r="AF1" s="72">
        <v>4</v>
      </c>
      <c r="AG1" s="72">
        <v>5</v>
      </c>
      <c r="AH1" s="72">
        <v>6</v>
      </c>
      <c r="AI1" s="72">
        <v>7</v>
      </c>
      <c r="AJ1" s="72">
        <v>8</v>
      </c>
      <c r="AK1" s="72">
        <v>9</v>
      </c>
      <c r="AL1" s="72">
        <v>10</v>
      </c>
      <c r="AM1" s="72">
        <v>11</v>
      </c>
      <c r="AN1" s="72">
        <v>12</v>
      </c>
      <c r="AO1" s="2" t="s">
        <v>196</v>
      </c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</v>
      </c>
      <c r="P3" s="5" t="s">
        <v>132</v>
      </c>
      <c r="Q3" s="5" t="s">
        <v>132</v>
      </c>
      <c r="R3" s="5" t="s">
        <v>132</v>
      </c>
      <c r="S3" s="5" t="s">
        <v>132</v>
      </c>
      <c r="T3" s="5" t="s">
        <v>132</v>
      </c>
      <c r="U3" s="5" t="s">
        <v>132</v>
      </c>
      <c r="V3" s="5" t="s">
        <v>132</v>
      </c>
      <c r="W3" s="5" t="s">
        <v>132</v>
      </c>
      <c r="X3" s="5" t="s">
        <v>132</v>
      </c>
      <c r="Y3" s="5" t="s">
        <v>132</v>
      </c>
      <c r="Z3" s="5" t="s">
        <v>132</v>
      </c>
      <c r="AA3" s="5" t="s">
        <v>132</v>
      </c>
      <c r="AB3" s="5" t="s">
        <v>2</v>
      </c>
      <c r="AC3" s="5" t="s">
        <v>132</v>
      </c>
      <c r="AD3" s="5" t="s">
        <v>132</v>
      </c>
      <c r="AE3" s="5" t="s">
        <v>132</v>
      </c>
      <c r="AF3" s="5" t="s">
        <v>132</v>
      </c>
      <c r="AG3" s="5" t="s">
        <v>132</v>
      </c>
      <c r="AH3" s="5" t="s">
        <v>132</v>
      </c>
      <c r="AI3" s="5" t="s">
        <v>132</v>
      </c>
      <c r="AJ3" s="5" t="s">
        <v>132</v>
      </c>
      <c r="AK3" s="5" t="s">
        <v>132</v>
      </c>
      <c r="AL3" s="5" t="s">
        <v>132</v>
      </c>
      <c r="AM3" s="5" t="s">
        <v>132</v>
      </c>
      <c r="AN3" s="5" t="s">
        <v>132</v>
      </c>
      <c r="AO3" s="4" t="s">
        <v>3</v>
      </c>
      <c r="AP3" s="4" t="s">
        <v>4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5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  <c r="P4" s="7">
        <f>IF(N4=12,1,N4+1)</f>
        <v>1</v>
      </c>
      <c r="Q4" s="7">
        <f t="shared" ref="Q4:AA4" si="0">IF(P4=12,1,P4+1)</f>
        <v>2</v>
      </c>
      <c r="R4" s="7">
        <f t="shared" si="0"/>
        <v>3</v>
      </c>
      <c r="S4" s="7">
        <f t="shared" si="0"/>
        <v>4</v>
      </c>
      <c r="T4" s="7">
        <f t="shared" si="0"/>
        <v>5</v>
      </c>
      <c r="U4" s="7">
        <f t="shared" si="0"/>
        <v>6</v>
      </c>
      <c r="V4" s="7">
        <f t="shared" si="0"/>
        <v>7</v>
      </c>
      <c r="W4" s="7">
        <f t="shared" si="0"/>
        <v>8</v>
      </c>
      <c r="X4" s="7">
        <f t="shared" si="0"/>
        <v>9</v>
      </c>
      <c r="Y4" s="7">
        <f t="shared" si="0"/>
        <v>10</v>
      </c>
      <c r="Z4" s="7">
        <f t="shared" si="0"/>
        <v>11</v>
      </c>
      <c r="AA4" s="7">
        <f t="shared" si="0"/>
        <v>12</v>
      </c>
      <c r="AB4" s="6"/>
      <c r="AC4" s="7">
        <f>IF(AA4=12,1,AA4+1)</f>
        <v>1</v>
      </c>
      <c r="AD4" s="7">
        <f t="shared" ref="AD4:AN4" si="1">IF(AC4=12,1,AC4+1)</f>
        <v>2</v>
      </c>
      <c r="AE4" s="7">
        <f t="shared" si="1"/>
        <v>3</v>
      </c>
      <c r="AF4" s="7">
        <f t="shared" si="1"/>
        <v>4</v>
      </c>
      <c r="AG4" s="7">
        <f t="shared" si="1"/>
        <v>5</v>
      </c>
      <c r="AH4" s="7">
        <f t="shared" si="1"/>
        <v>6</v>
      </c>
      <c r="AI4" s="7">
        <f t="shared" si="1"/>
        <v>7</v>
      </c>
      <c r="AJ4" s="7">
        <f t="shared" si="1"/>
        <v>8</v>
      </c>
      <c r="AK4" s="7">
        <f t="shared" si="1"/>
        <v>9</v>
      </c>
      <c r="AL4" s="7">
        <f t="shared" si="1"/>
        <v>10</v>
      </c>
      <c r="AM4" s="7">
        <f t="shared" si="1"/>
        <v>11</v>
      </c>
      <c r="AN4" s="7">
        <f t="shared" si="1"/>
        <v>12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5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>
        <v>19</v>
      </c>
      <c r="W5" s="7">
        <v>20</v>
      </c>
      <c r="X5" s="7">
        <v>21</v>
      </c>
      <c r="Y5" s="7">
        <v>22</v>
      </c>
      <c r="Z5" s="7">
        <v>23</v>
      </c>
      <c r="AA5" s="7">
        <v>24</v>
      </c>
      <c r="AB5" s="6"/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>
        <v>31</v>
      </c>
      <c r="AJ5" s="7">
        <v>32</v>
      </c>
      <c r="AK5" s="7">
        <v>33</v>
      </c>
      <c r="AL5" s="7">
        <v>34</v>
      </c>
      <c r="AM5" s="7">
        <v>35</v>
      </c>
      <c r="AN5" s="7">
        <v>36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28.2" customHeight="1">
      <c r="A6" s="8" t="s">
        <v>5</v>
      </c>
      <c r="B6" s="9"/>
      <c r="C6" s="10"/>
      <c r="D6" s="76" t="s">
        <v>6</v>
      </c>
      <c r="E6" s="74"/>
      <c r="F6" s="74"/>
      <c r="G6" s="74"/>
      <c r="H6" s="74"/>
      <c r="I6" s="11"/>
      <c r="J6" s="76" t="s">
        <v>7</v>
      </c>
      <c r="K6" s="74"/>
      <c r="L6" s="74"/>
      <c r="M6" s="7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ht="25.5" customHeight="1">
      <c r="A7" s="12" t="s">
        <v>8</v>
      </c>
      <c r="B7" s="13" t="s">
        <v>9</v>
      </c>
      <c r="C7" s="12"/>
      <c r="D7" s="73" t="s">
        <v>10</v>
      </c>
      <c r="E7" s="74"/>
      <c r="F7" s="74"/>
      <c r="G7" s="74"/>
      <c r="H7" s="15">
        <v>0</v>
      </c>
      <c r="I7" s="16"/>
      <c r="J7" s="73"/>
      <c r="K7" s="74"/>
      <c r="L7" s="17">
        <f>SUM(L8:L12)-H8</f>
        <v>1.0999999999999999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ht="31.5" customHeight="1">
      <c r="A8" s="77" t="s">
        <v>11</v>
      </c>
      <c r="B8" s="78">
        <v>0.4</v>
      </c>
      <c r="C8" s="12"/>
      <c r="D8" s="73" t="s">
        <v>12</v>
      </c>
      <c r="E8" s="74"/>
      <c r="F8" s="74"/>
      <c r="G8" s="74"/>
      <c r="H8" s="15">
        <v>0</v>
      </c>
      <c r="I8" s="16"/>
      <c r="J8" s="73" t="s">
        <v>13</v>
      </c>
      <c r="K8" s="74"/>
      <c r="L8" s="18">
        <v>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15.75" customHeight="1">
      <c r="A9" s="74"/>
      <c r="B9" s="74"/>
      <c r="C9" s="12"/>
      <c r="D9" s="73" t="s">
        <v>14</v>
      </c>
      <c r="E9" s="74"/>
      <c r="F9" s="74"/>
      <c r="G9" s="74"/>
      <c r="H9" s="15">
        <v>0.15</v>
      </c>
      <c r="I9" s="16"/>
      <c r="J9" s="73" t="s">
        <v>15</v>
      </c>
      <c r="K9" s="74"/>
      <c r="L9" s="18">
        <v>0.6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15.75" customHeight="1">
      <c r="A10" s="12" t="s">
        <v>16</v>
      </c>
      <c r="B10" s="19">
        <v>0.4</v>
      </c>
      <c r="C10" s="12"/>
      <c r="D10" s="73" t="s">
        <v>17</v>
      </c>
      <c r="E10" s="74"/>
      <c r="F10" s="74"/>
      <c r="G10" s="74"/>
      <c r="H10" s="15">
        <v>2.5000000000000001E-2</v>
      </c>
      <c r="I10" s="16"/>
      <c r="J10" s="73" t="s">
        <v>18</v>
      </c>
      <c r="K10" s="74"/>
      <c r="L10" s="18">
        <v>0.3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15.75" customHeight="1">
      <c r="A11" s="12" t="s">
        <v>19</v>
      </c>
      <c r="B11" s="20">
        <v>12</v>
      </c>
      <c r="C11" s="21"/>
      <c r="D11" s="73" t="s">
        <v>20</v>
      </c>
      <c r="E11" s="74"/>
      <c r="F11" s="74"/>
      <c r="G11" s="74"/>
      <c r="H11" s="22">
        <v>3</v>
      </c>
      <c r="I11" s="16"/>
      <c r="J11" s="73" t="s">
        <v>21</v>
      </c>
      <c r="K11" s="74"/>
      <c r="L11" s="18">
        <v>0.2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15.75" customHeight="1">
      <c r="A12" s="21" t="s">
        <v>22</v>
      </c>
      <c r="B12" s="23">
        <f>C245</f>
        <v>0.55521264908938739</v>
      </c>
      <c r="C12" s="16"/>
      <c r="D12" s="73" t="s">
        <v>23</v>
      </c>
      <c r="E12" s="74"/>
      <c r="F12" s="74"/>
      <c r="G12" s="74"/>
      <c r="H12" s="18">
        <v>0.05</v>
      </c>
      <c r="I12" s="16"/>
      <c r="J12" s="73" t="s">
        <v>24</v>
      </c>
      <c r="K12" s="74"/>
      <c r="L12" s="18"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ht="15.75" customHeight="1">
      <c r="A13" s="14" t="s">
        <v>25</v>
      </c>
      <c r="B13" s="19">
        <v>0.3</v>
      </c>
      <c r="C13" s="16"/>
      <c r="D13" s="73" t="s">
        <v>26</v>
      </c>
      <c r="E13" s="74"/>
      <c r="F13" s="74"/>
      <c r="G13" s="74"/>
      <c r="H13" s="18">
        <v>0.1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5.75" customHeight="1">
      <c r="A14" s="14"/>
      <c r="B14" s="14"/>
      <c r="C14" s="16"/>
      <c r="D14" s="73" t="s">
        <v>27</v>
      </c>
      <c r="E14" s="74"/>
      <c r="F14" s="74"/>
      <c r="G14" s="74"/>
      <c r="H14" s="18">
        <v>0.03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ht="15.75" customHeight="1">
      <c r="A15" s="14"/>
      <c r="B15" s="14"/>
      <c r="C15" s="16"/>
      <c r="D15" s="73"/>
      <c r="E15" s="74"/>
      <c r="F15" s="74"/>
      <c r="G15" s="74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ht="15.75" customHeight="1">
      <c r="A16" s="14"/>
      <c r="B16" s="14"/>
      <c r="C16" s="16"/>
      <c r="D16" s="14"/>
      <c r="E16" s="14"/>
      <c r="F16" s="14"/>
      <c r="G16" s="14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ht="24.6">
      <c r="A17" s="24" t="s">
        <v>28</v>
      </c>
      <c r="B17" s="25">
        <v>5000000</v>
      </c>
      <c r="C17" s="26"/>
      <c r="D17" s="75" t="s">
        <v>29</v>
      </c>
      <c r="E17" s="74"/>
      <c r="F17" s="74"/>
      <c r="G17" s="74"/>
      <c r="H17" s="74"/>
      <c r="I17" s="26"/>
      <c r="J17" s="76" t="s">
        <v>7</v>
      </c>
      <c r="K17" s="74"/>
      <c r="L17" s="74"/>
      <c r="M17" s="7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.75" customHeight="1">
      <c r="A18" s="27" t="s">
        <v>30</v>
      </c>
      <c r="B18" s="27">
        <v>0</v>
      </c>
      <c r="C18" s="28"/>
      <c r="D18" s="73" t="s">
        <v>31</v>
      </c>
      <c r="E18" s="74"/>
      <c r="F18" s="74"/>
      <c r="G18" s="74"/>
      <c r="H18" s="29">
        <v>372690</v>
      </c>
      <c r="I18" s="28"/>
      <c r="J18" s="28" t="s">
        <v>177</v>
      </c>
      <c r="K18" s="28"/>
      <c r="L18" s="28"/>
      <c r="M18" s="28"/>
      <c r="N18" s="28"/>
      <c r="O18" s="30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.75" customHeight="1">
      <c r="A19" s="29" t="s">
        <v>32</v>
      </c>
      <c r="B19" s="29" t="s">
        <v>33</v>
      </c>
      <c r="C19" s="28"/>
      <c r="D19" s="73" t="s">
        <v>34</v>
      </c>
      <c r="E19" s="74"/>
      <c r="F19" s="74"/>
      <c r="G19" s="74"/>
      <c r="H19" s="29">
        <v>183296</v>
      </c>
      <c r="I19" s="28"/>
      <c r="J19" s="28"/>
      <c r="K19" s="28"/>
      <c r="L19" s="28"/>
      <c r="M19" s="28"/>
      <c r="N19" s="28"/>
      <c r="O19" s="30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.75" customHeight="1">
      <c r="A20" s="29"/>
      <c r="B20" s="29"/>
      <c r="C20" s="28"/>
      <c r="D20" s="73" t="s">
        <v>35</v>
      </c>
      <c r="E20" s="74"/>
      <c r="F20" s="74"/>
      <c r="G20" s="74"/>
      <c r="H20" s="29">
        <f>40000*5</f>
        <v>200000</v>
      </c>
      <c r="I20" s="28"/>
      <c r="J20" s="28"/>
      <c r="K20" s="28"/>
      <c r="L20" s="28"/>
      <c r="M20" s="28"/>
      <c r="N20" s="28"/>
      <c r="O20" s="3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0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5.75" customHeight="1">
      <c r="A21" s="28"/>
      <c r="B21" s="28"/>
      <c r="C21" s="28"/>
      <c r="D21" s="73" t="s">
        <v>36</v>
      </c>
      <c r="E21" s="74"/>
      <c r="F21" s="74"/>
      <c r="G21" s="74"/>
      <c r="H21" s="29">
        <v>5000</v>
      </c>
      <c r="I21" s="28"/>
      <c r="J21" s="28"/>
      <c r="K21" s="28"/>
      <c r="L21" s="28"/>
      <c r="M21" s="28"/>
      <c r="N21" s="28"/>
      <c r="O21" s="30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.75" customHeight="1">
      <c r="A22" s="27" t="s">
        <v>37</v>
      </c>
      <c r="B22" s="27">
        <f>B23+B24</f>
        <v>5000000</v>
      </c>
      <c r="C22" s="28"/>
      <c r="D22" s="73" t="s">
        <v>38</v>
      </c>
      <c r="E22" s="74"/>
      <c r="F22" s="74"/>
      <c r="G22" s="74"/>
      <c r="H22" s="29">
        <v>5000</v>
      </c>
      <c r="I22" s="28"/>
      <c r="J22" s="28"/>
      <c r="K22" s="28"/>
      <c r="L22" s="28"/>
      <c r="M22" s="28"/>
      <c r="N22" s="28"/>
      <c r="O22" s="3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0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5.75" customHeight="1">
      <c r="A23" s="28" t="s">
        <v>39</v>
      </c>
      <c r="B23" s="28">
        <v>5000000</v>
      </c>
      <c r="C23" s="28"/>
      <c r="D23" s="73" t="s">
        <v>40</v>
      </c>
      <c r="E23" s="74"/>
      <c r="F23" s="74"/>
      <c r="G23" s="74"/>
      <c r="H23" s="29">
        <v>200000</v>
      </c>
      <c r="I23" s="28"/>
      <c r="J23" s="28"/>
      <c r="K23" s="28"/>
      <c r="L23" s="28"/>
      <c r="M23" s="28"/>
      <c r="N23" s="28"/>
      <c r="O23" s="3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5.75" customHeight="1">
      <c r="A24" s="28"/>
      <c r="B24" s="28"/>
      <c r="C24" s="28"/>
      <c r="D24" s="73" t="s">
        <v>41</v>
      </c>
      <c r="E24" s="74"/>
      <c r="F24" s="74"/>
      <c r="G24" s="74"/>
      <c r="H24" s="29">
        <v>350</v>
      </c>
      <c r="I24" s="28"/>
      <c r="J24" s="28"/>
      <c r="K24" s="28"/>
      <c r="L24" s="28"/>
      <c r="M24" s="28"/>
      <c r="N24" s="28"/>
      <c r="O24" s="3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0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5.75" customHeight="1">
      <c r="A25" s="14"/>
      <c r="B25" s="14"/>
      <c r="C25" s="14"/>
      <c r="D25" s="73" t="s">
        <v>42</v>
      </c>
      <c r="E25" s="74"/>
      <c r="F25" s="74"/>
      <c r="G25" s="74"/>
      <c r="H25" s="29">
        <v>50000</v>
      </c>
      <c r="I25" s="14"/>
      <c r="J25" s="14"/>
      <c r="K25" s="14"/>
      <c r="L25" s="14"/>
      <c r="M25" s="14"/>
      <c r="N25" s="14"/>
      <c r="O25" s="3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31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ht="15.75" customHeight="1">
      <c r="A26" s="24" t="s">
        <v>43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ht="15.75" customHeight="1">
      <c r="A27" s="14"/>
      <c r="B27" s="14" t="s">
        <v>44</v>
      </c>
      <c r="C27" s="14" t="s">
        <v>45</v>
      </c>
      <c r="D27" s="28" t="s">
        <v>177</v>
      </c>
      <c r="E27" s="14" t="s">
        <v>193</v>
      </c>
      <c r="F27" s="14" t="s">
        <v>194</v>
      </c>
      <c r="G27" s="14"/>
      <c r="H27" s="14"/>
      <c r="I27" s="14"/>
      <c r="J27" s="14"/>
      <c r="K27" s="14"/>
      <c r="L27" s="14"/>
      <c r="M27" s="14"/>
      <c r="N27" s="14"/>
      <c r="O27" s="3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31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1:62" ht="15.75" customHeight="1">
      <c r="A28" s="34" t="s">
        <v>46</v>
      </c>
      <c r="B28" s="29">
        <v>800</v>
      </c>
      <c r="C28" s="14">
        <f t="shared" ref="C28:C37" si="2">B28*$H$11</f>
        <v>2400</v>
      </c>
      <c r="D28" s="81">
        <f>ROUNDUP(Т1!B13,0)</f>
        <v>2512</v>
      </c>
      <c r="E28" s="17">
        <v>0.1</v>
      </c>
      <c r="F28" s="17">
        <v>0.3</v>
      </c>
      <c r="G28" s="17"/>
      <c r="H28" s="17"/>
      <c r="I28" s="14"/>
      <c r="J28" s="14"/>
      <c r="K28" s="14"/>
      <c r="L28" s="14"/>
      <c r="M28" s="14"/>
      <c r="N28" s="14"/>
      <c r="O28" s="3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31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1:62" ht="15.75" customHeight="1">
      <c r="A29" s="34" t="s">
        <v>47</v>
      </c>
      <c r="B29" s="29">
        <v>2200</v>
      </c>
      <c r="C29" s="14">
        <f t="shared" si="2"/>
        <v>6600</v>
      </c>
      <c r="D29" s="14">
        <v>1000</v>
      </c>
      <c r="E29" s="17">
        <v>0.1</v>
      </c>
      <c r="F29" s="17">
        <v>0.3</v>
      </c>
      <c r="G29" s="17"/>
      <c r="H29" s="17"/>
      <c r="I29" s="14"/>
      <c r="J29" s="14"/>
      <c r="K29" s="14"/>
      <c r="L29" s="14"/>
      <c r="M29" s="14"/>
      <c r="N29" s="14"/>
      <c r="O29" s="31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31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1:62" ht="15.75" customHeight="1">
      <c r="A30" s="34" t="s">
        <v>48</v>
      </c>
      <c r="B30" s="29">
        <v>1800</v>
      </c>
      <c r="C30" s="14">
        <f t="shared" si="2"/>
        <v>5400</v>
      </c>
      <c r="D30" s="14">
        <v>1000</v>
      </c>
      <c r="E30" s="17">
        <v>0.1</v>
      </c>
      <c r="F30" s="17">
        <v>0.3</v>
      </c>
      <c r="G30" s="17"/>
      <c r="H30" s="17"/>
      <c r="I30" s="14"/>
      <c r="J30" s="14"/>
      <c r="K30" s="14"/>
      <c r="L30" s="14"/>
      <c r="M30" s="14"/>
      <c r="N30" s="14"/>
      <c r="O30" s="31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31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1:62" ht="15.75" customHeight="1">
      <c r="A31" s="35" t="s">
        <v>49</v>
      </c>
      <c r="B31" s="29">
        <v>560</v>
      </c>
      <c r="C31" s="14">
        <f t="shared" si="2"/>
        <v>1680</v>
      </c>
      <c r="D31" s="81">
        <f>ROUNDUP(Т4!B12,0)</f>
        <v>1128</v>
      </c>
      <c r="E31" s="17">
        <v>0.1</v>
      </c>
      <c r="F31" s="17">
        <v>0.3</v>
      </c>
      <c r="G31" s="17"/>
      <c r="H31" s="17"/>
      <c r="I31" s="14"/>
      <c r="J31" s="14"/>
      <c r="K31" s="14"/>
      <c r="L31" s="14"/>
      <c r="M31" s="14"/>
      <c r="N31" s="14"/>
      <c r="O31" s="3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3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ht="15.75" customHeight="1">
      <c r="A32" s="35" t="s">
        <v>50</v>
      </c>
      <c r="B32" s="29">
        <v>1500</v>
      </c>
      <c r="C32" s="14">
        <f t="shared" si="2"/>
        <v>4500</v>
      </c>
      <c r="D32" s="14">
        <v>0</v>
      </c>
      <c r="E32" s="17">
        <v>0.1</v>
      </c>
      <c r="F32" s="17">
        <v>0.3</v>
      </c>
      <c r="G32" s="17"/>
      <c r="H32" s="17"/>
      <c r="I32" s="14"/>
      <c r="J32" s="14"/>
      <c r="K32" s="14"/>
      <c r="L32" s="14"/>
      <c r="M32" s="14"/>
      <c r="N32" s="14"/>
      <c r="O32" s="3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3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1:63" ht="15.75" customHeight="1">
      <c r="A33" s="35" t="s">
        <v>51</v>
      </c>
      <c r="B33" s="29">
        <v>3000</v>
      </c>
      <c r="C33" s="14">
        <f t="shared" si="2"/>
        <v>9000</v>
      </c>
      <c r="D33" s="81">
        <f>ROUNDUP(Т6!B12,0)</f>
        <v>595</v>
      </c>
      <c r="E33" s="17">
        <v>0.1</v>
      </c>
      <c r="F33" s="17">
        <v>0.3</v>
      </c>
      <c r="G33" s="17"/>
      <c r="H33" s="17"/>
      <c r="I33" s="14"/>
      <c r="J33" s="14"/>
      <c r="K33" s="14"/>
      <c r="L33" s="14"/>
      <c r="M33" s="14"/>
      <c r="N33" s="14"/>
      <c r="O33" s="31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31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36"/>
    </row>
    <row r="34" spans="1:63" ht="15.75" customHeight="1">
      <c r="A34" s="35" t="s">
        <v>52</v>
      </c>
      <c r="B34" s="29">
        <v>2200</v>
      </c>
      <c r="C34" s="14">
        <f t="shared" si="2"/>
        <v>6600</v>
      </c>
      <c r="D34" s="14">
        <f>ROUNDUP(Т7!B12,0)</f>
        <v>484</v>
      </c>
      <c r="E34" s="17">
        <v>0.1</v>
      </c>
      <c r="F34" s="17">
        <v>0.3</v>
      </c>
      <c r="G34" s="17"/>
      <c r="H34" s="17"/>
      <c r="I34" s="14"/>
      <c r="J34" s="14"/>
      <c r="K34" s="14"/>
      <c r="L34" s="14"/>
      <c r="M34" s="14"/>
      <c r="N34" s="14"/>
      <c r="O34" s="3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31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36"/>
    </row>
    <row r="35" spans="1:63" ht="15.75" customHeight="1">
      <c r="A35" s="35" t="s">
        <v>53</v>
      </c>
      <c r="B35" s="29">
        <v>9000</v>
      </c>
      <c r="C35" s="14">
        <f t="shared" si="2"/>
        <v>27000</v>
      </c>
      <c r="D35" s="14">
        <f>ROUNDUP(Т8!B12,0)</f>
        <v>1203</v>
      </c>
      <c r="E35" s="17">
        <v>0.1</v>
      </c>
      <c r="F35" s="17">
        <v>0.3</v>
      </c>
      <c r="G35" s="17"/>
      <c r="H35" s="17"/>
      <c r="I35" s="14"/>
      <c r="J35" s="14"/>
      <c r="K35" s="14"/>
      <c r="L35" s="14"/>
      <c r="M35" s="14"/>
      <c r="N35" s="14"/>
      <c r="O35" s="31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31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36"/>
    </row>
    <row r="36" spans="1:63" ht="15.75" customHeight="1">
      <c r="A36" s="35" t="s">
        <v>54</v>
      </c>
      <c r="B36" s="29">
        <v>1800</v>
      </c>
      <c r="C36" s="14">
        <f t="shared" si="2"/>
        <v>5400</v>
      </c>
      <c r="D36" s="14">
        <f>ROUNDUP(Т9!B12,0)</f>
        <v>1596</v>
      </c>
      <c r="E36" s="17">
        <v>0.1</v>
      </c>
      <c r="F36" s="17">
        <v>0.3</v>
      </c>
      <c r="G36" s="17"/>
      <c r="H36" s="17"/>
      <c r="I36" s="14"/>
      <c r="J36" s="14"/>
      <c r="K36" s="14"/>
      <c r="L36" s="14"/>
      <c r="M36" s="14"/>
      <c r="N36" s="14"/>
      <c r="O36" s="31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31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36"/>
    </row>
    <row r="37" spans="1:63" ht="15.75" customHeight="1">
      <c r="A37" s="35" t="s">
        <v>55</v>
      </c>
      <c r="B37" s="29">
        <v>2700</v>
      </c>
      <c r="C37" s="14">
        <f t="shared" si="2"/>
        <v>8100</v>
      </c>
      <c r="D37" s="14">
        <f>ROUNDUP(Т10!B12,0)</f>
        <v>4491</v>
      </c>
      <c r="E37" s="17">
        <v>0.1</v>
      </c>
      <c r="F37" s="17">
        <v>0.3</v>
      </c>
      <c r="G37" s="17"/>
      <c r="H37" s="17"/>
      <c r="I37" s="14"/>
      <c r="J37" s="14"/>
      <c r="K37" s="14"/>
      <c r="L37" s="14"/>
      <c r="M37" s="14"/>
      <c r="N37" s="14"/>
      <c r="O37" s="31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31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36"/>
    </row>
    <row r="38" spans="1:63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1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1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3" ht="29.55" customHeight="1">
      <c r="A39" s="37" t="s">
        <v>56</v>
      </c>
      <c r="B39" s="38">
        <f>B42+B44+B46+B48+B50+B52+B54+B56+B58+B60</f>
        <v>1765829</v>
      </c>
      <c r="C39" s="38">
        <f t="shared" ref="C39:M39" si="3">C42+C44+C46+C48+C50+C52+C54+C56+C58+C60</f>
        <v>0</v>
      </c>
      <c r="D39" s="38">
        <f>D42+D44+D46+D48+D50+D52+D54+D56+D58+D60</f>
        <v>3531658</v>
      </c>
      <c r="E39" s="38">
        <f t="shared" si="3"/>
        <v>0</v>
      </c>
      <c r="F39" s="38">
        <f>F42+F44+F46+F48+F50+F52+F54+F56+F58+F60</f>
        <v>3531658</v>
      </c>
      <c r="G39" s="38">
        <f t="shared" si="3"/>
        <v>0</v>
      </c>
      <c r="H39" s="38">
        <f t="shared" si="3"/>
        <v>4237989.6000000006</v>
      </c>
      <c r="I39" s="38">
        <f t="shared" si="3"/>
        <v>0</v>
      </c>
      <c r="J39" s="38">
        <f>J42+J44+J46+J48+J50+J52+J54+J56+J58+J60</f>
        <v>5085587.5199999996</v>
      </c>
      <c r="K39" s="38">
        <f t="shared" si="3"/>
        <v>0</v>
      </c>
      <c r="L39" s="38">
        <f t="shared" si="3"/>
        <v>6102705.0239999993</v>
      </c>
      <c r="M39" s="38">
        <f t="shared" si="3"/>
        <v>0</v>
      </c>
      <c r="N39" s="38">
        <f>N42+N44+N46+N48+N50+N52+N54+N56+N58+N60</f>
        <v>5142094.0479999995</v>
      </c>
      <c r="O39" s="38">
        <f>O42+O44+O46+O48+O50+O52+O54+O56+O58+O60</f>
        <v>27631692.191999998</v>
      </c>
      <c r="P39" s="38">
        <f>P42+P44+P46</f>
        <v>1018907.648</v>
      </c>
      <c r="Q39" s="38">
        <f>Q42+Q44+Q46</f>
        <v>1075200.2389333334</v>
      </c>
      <c r="R39" s="38">
        <f t="shared" ref="R39:AP39" si="4">R42+R44+R46</f>
        <v>1047053.9434666666</v>
      </c>
      <c r="S39" s="38">
        <f t="shared" si="4"/>
        <v>1061127.0912000001</v>
      </c>
      <c r="T39" s="38">
        <f t="shared" si="4"/>
        <v>1054090.5173333334</v>
      </c>
      <c r="U39" s="38">
        <f t="shared" si="4"/>
        <v>1057608.8042666668</v>
      </c>
      <c r="V39" s="38">
        <f t="shared" si="4"/>
        <v>1055849.6608</v>
      </c>
      <c r="W39" s="38">
        <f t="shared" si="4"/>
        <v>1056729.2325333334</v>
      </c>
      <c r="X39" s="38">
        <f t="shared" si="4"/>
        <v>1056289.4466666665</v>
      </c>
      <c r="Y39" s="38">
        <f t="shared" si="4"/>
        <v>1056509.3396000001</v>
      </c>
      <c r="Z39" s="38">
        <f t="shared" si="4"/>
        <v>1056399.3931333332</v>
      </c>
      <c r="AA39" s="38">
        <f t="shared" si="4"/>
        <v>1056454.3663666667</v>
      </c>
      <c r="AB39" s="38">
        <f t="shared" si="4"/>
        <v>12652219.6823</v>
      </c>
      <c r="AC39" s="38">
        <f t="shared" si="4"/>
        <v>1200000</v>
      </c>
      <c r="AD39" s="38">
        <f t="shared" si="4"/>
        <v>1200000</v>
      </c>
      <c r="AE39" s="38">
        <f t="shared" si="4"/>
        <v>1200000</v>
      </c>
      <c r="AF39" s="38">
        <f t="shared" si="4"/>
        <v>1200000</v>
      </c>
      <c r="AG39" s="38">
        <f t="shared" si="4"/>
        <v>1200000</v>
      </c>
      <c r="AH39" s="38">
        <f t="shared" si="4"/>
        <v>1200000</v>
      </c>
      <c r="AI39" s="38">
        <f t="shared" si="4"/>
        <v>1200000</v>
      </c>
      <c r="AJ39" s="38">
        <f t="shared" si="4"/>
        <v>1200000</v>
      </c>
      <c r="AK39" s="38">
        <f t="shared" si="4"/>
        <v>1200000</v>
      </c>
      <c r="AL39" s="38">
        <f t="shared" si="4"/>
        <v>1200000</v>
      </c>
      <c r="AM39" s="38">
        <f t="shared" si="4"/>
        <v>1200000</v>
      </c>
      <c r="AN39" s="38">
        <f t="shared" si="4"/>
        <v>1200000</v>
      </c>
      <c r="AO39" s="38">
        <f t="shared" si="4"/>
        <v>14400000</v>
      </c>
      <c r="AP39" s="38">
        <f t="shared" si="4"/>
        <v>31754130.7223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3" ht="15.75" customHeight="1">
      <c r="A40" s="40" t="s">
        <v>57</v>
      </c>
      <c r="B40" s="40"/>
      <c r="C40" s="40">
        <f>B166</f>
        <v>2969296.6500000004</v>
      </c>
      <c r="D40" s="40">
        <f>C166</f>
        <v>4053686.9875000007</v>
      </c>
      <c r="E40" s="40">
        <f>D166</f>
        <v>2094643.872500001</v>
      </c>
      <c r="F40" s="40">
        <f t="shared" ref="F40" si="5">E166</f>
        <v>4999845.0375000015</v>
      </c>
      <c r="G40" s="40">
        <f t="shared" ref="G40:N40" si="6">F166</f>
        <v>3345407.4250000017</v>
      </c>
      <c r="H40" s="40">
        <f t="shared" si="6"/>
        <v>6250608.5900000017</v>
      </c>
      <c r="I40" s="40">
        <f t="shared" si="6"/>
        <v>4205039.8540000012</v>
      </c>
      <c r="J40" s="40">
        <f t="shared" si="6"/>
        <v>6654478.4520000014</v>
      </c>
      <c r="K40" s="40">
        <f t="shared" si="6"/>
        <v>3681116.3648000024</v>
      </c>
      <c r="L40" s="40">
        <f t="shared" si="6"/>
        <v>6514754.7964000031</v>
      </c>
      <c r="M40" s="40">
        <f t="shared" si="6"/>
        <v>2553476.657940004</v>
      </c>
      <c r="N40" s="40">
        <f t="shared" si="6"/>
        <v>5719793.9238770055</v>
      </c>
      <c r="O40" s="40"/>
      <c r="P40" s="40">
        <f>O166</f>
        <v>3225753.7110628574</v>
      </c>
      <c r="Q40" s="40">
        <f>P166</f>
        <v>1492640.2341988571</v>
      </c>
      <c r="R40" s="40">
        <f t="shared" ref="Q40:AA40" si="7">Q166</f>
        <v>1064896.909595124</v>
      </c>
      <c r="S40" s="40">
        <f t="shared" si="7"/>
        <v>856639.11979501799</v>
      </c>
      <c r="T40" s="40">
        <f t="shared" si="7"/>
        <v>838026.23462023446</v>
      </c>
      <c r="U40" s="40">
        <f t="shared" si="7"/>
        <v>1053917.3363626397</v>
      </c>
      <c r="V40" s="40">
        <f t="shared" si="7"/>
        <v>1453358.2248382957</v>
      </c>
      <c r="W40" s="40">
        <f t="shared" si="7"/>
        <v>714692.51339158905</v>
      </c>
      <c r="X40" s="40">
        <f t="shared" si="7"/>
        <v>1264288.6884983452</v>
      </c>
      <c r="Y40" s="40">
        <f t="shared" si="7"/>
        <v>1811675.0325665358</v>
      </c>
      <c r="Z40" s="40">
        <f t="shared" si="7"/>
        <v>2431412.5518645844</v>
      </c>
      <c r="AA40" s="40">
        <f t="shared" si="7"/>
        <v>3131658.8587493985</v>
      </c>
      <c r="AB40" s="40"/>
      <c r="AC40" s="40">
        <f t="shared" ref="AC40:AN40" si="8">AB166</f>
        <v>3696548.8990738788</v>
      </c>
      <c r="AD40" s="40">
        <f t="shared" si="8"/>
        <v>3046835.8181206789</v>
      </c>
      <c r="AE40" s="40">
        <f t="shared" si="8"/>
        <v>3802523.4277806287</v>
      </c>
      <c r="AF40" s="40">
        <f t="shared" si="8"/>
        <v>4654735.9320449624</v>
      </c>
      <c r="AG40" s="40">
        <f t="shared" si="8"/>
        <v>5539963.9320449624</v>
      </c>
      <c r="AH40" s="40">
        <f t="shared" si="8"/>
        <v>6425191.9320449624</v>
      </c>
      <c r="AI40" s="40">
        <f t="shared" si="8"/>
        <v>7310419.9320449624</v>
      </c>
      <c r="AJ40" s="40">
        <f t="shared" si="8"/>
        <v>6995647.9320449624</v>
      </c>
      <c r="AK40" s="40">
        <f t="shared" si="8"/>
        <v>7880875.9320449624</v>
      </c>
      <c r="AL40" s="40">
        <f t="shared" si="8"/>
        <v>8766103.9320449624</v>
      </c>
      <c r="AM40" s="40">
        <f t="shared" si="8"/>
        <v>9651331.9320449624</v>
      </c>
      <c r="AN40" s="40">
        <f t="shared" si="8"/>
        <v>10536559.932044962</v>
      </c>
      <c r="AO40" s="40"/>
      <c r="AP40" s="40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3" ht="15.75" customHeight="1" outlineLevel="1">
      <c r="A41" s="28" t="str">
        <f>A28</f>
        <v>Группа товара 1 (https://www.wildberries.ru/catalog/0/search.aspx?search=нижнее%20белье) - https://www.alibaba.com/picture/search.htm?imageType=oss&amp;escapeQp=true&amp;imageAddress=/icbuimgsearch/jtYkNhkTjd1687100015093.jpg&amp;sourceFrom=imageupload&amp;uploadType=uploadBtn</v>
      </c>
      <c r="B41" s="29">
        <f>D41/2</f>
        <v>125.60000000000001</v>
      </c>
      <c r="C41" s="29"/>
      <c r="D41" s="29">
        <f>$D$28*$E$28</f>
        <v>251.20000000000002</v>
      </c>
      <c r="E41" s="29"/>
      <c r="F41" s="29">
        <f>$D$28*$E$28</f>
        <v>251.20000000000002</v>
      </c>
      <c r="G41" s="29"/>
      <c r="H41" s="29">
        <f>F41*1.2</f>
        <v>301.44</v>
      </c>
      <c r="I41" s="29"/>
      <c r="J41" s="29">
        <f>H41*1.2</f>
        <v>361.72800000000001</v>
      </c>
      <c r="K41" s="29"/>
      <c r="L41" s="29">
        <f>J41*1.2</f>
        <v>434.0736</v>
      </c>
      <c r="M41" s="29"/>
      <c r="N41" s="29">
        <f>AVERAGE(H41:L41)</f>
        <v>365.74720000000002</v>
      </c>
      <c r="O41" s="30">
        <f t="shared" ref="O41:O61" si="9">SUM(C41:N41)</f>
        <v>1965.3887999999999</v>
      </c>
      <c r="P41" s="29">
        <f>AVERAGE(J41:N41)*1.1</f>
        <v>425.90122666666667</v>
      </c>
      <c r="Q41" s="29">
        <f>AVERAGE(L41:N41,P41)*1.1</f>
        <v>449.43140977777779</v>
      </c>
      <c r="R41" s="29">
        <f>AVERAGE(P41:Q41)</f>
        <v>437.66631822222223</v>
      </c>
      <c r="S41" s="29">
        <f t="shared" ref="S41:AA41" si="10">AVERAGE(Q41:R41)</f>
        <v>443.54886399999998</v>
      </c>
      <c r="T41" s="29">
        <f t="shared" si="10"/>
        <v>440.60759111111111</v>
      </c>
      <c r="U41" s="29">
        <f t="shared" si="10"/>
        <v>442.07822755555554</v>
      </c>
      <c r="V41" s="29">
        <f t="shared" si="10"/>
        <v>441.3429093333333</v>
      </c>
      <c r="W41" s="29">
        <f t="shared" si="10"/>
        <v>441.71056844444445</v>
      </c>
      <c r="X41" s="29">
        <f t="shared" si="10"/>
        <v>441.52673888888887</v>
      </c>
      <c r="Y41" s="29">
        <f t="shared" si="10"/>
        <v>441.61865366666666</v>
      </c>
      <c r="Z41" s="29">
        <f t="shared" si="10"/>
        <v>441.57269627777777</v>
      </c>
      <c r="AA41" s="29">
        <f t="shared" si="10"/>
        <v>441.59567497222224</v>
      </c>
      <c r="AB41" s="30">
        <f t="shared" ref="AB41:AB46" si="11">SUM(P41:AA41)</f>
        <v>5288.6008789166663</v>
      </c>
      <c r="AC41" s="29">
        <v>250</v>
      </c>
      <c r="AD41" s="29">
        <v>250</v>
      </c>
      <c r="AE41" s="29">
        <v>250</v>
      </c>
      <c r="AF41" s="29">
        <v>250</v>
      </c>
      <c r="AG41" s="29">
        <v>250</v>
      </c>
      <c r="AH41" s="29">
        <v>250</v>
      </c>
      <c r="AI41" s="29">
        <v>250</v>
      </c>
      <c r="AJ41" s="29">
        <v>250</v>
      </c>
      <c r="AK41" s="29">
        <v>250</v>
      </c>
      <c r="AL41" s="29">
        <v>250</v>
      </c>
      <c r="AM41" s="29">
        <v>250</v>
      </c>
      <c r="AN41" s="29">
        <v>250</v>
      </c>
      <c r="AO41" s="28">
        <f t="shared" ref="AO41:AO60" si="12">SUM(AC41:AN41)</f>
        <v>3000</v>
      </c>
      <c r="AP41" s="28">
        <f>AO41+AB41+O41</f>
        <v>10253.989678916667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3" ht="15.75" customHeight="1" outlineLevel="1">
      <c r="A42" s="28" t="s">
        <v>58</v>
      </c>
      <c r="B42" s="28">
        <f t="shared" ref="B42:N42" si="13">B41*$B$28</f>
        <v>100480</v>
      </c>
      <c r="C42" s="28">
        <f t="shared" si="13"/>
        <v>0</v>
      </c>
      <c r="D42" s="28">
        <f>D41*$B$28</f>
        <v>200960</v>
      </c>
      <c r="E42" s="28">
        <f t="shared" si="13"/>
        <v>0</v>
      </c>
      <c r="F42" s="28">
        <f t="shared" si="13"/>
        <v>200960</v>
      </c>
      <c r="G42" s="28">
        <f t="shared" si="13"/>
        <v>0</v>
      </c>
      <c r="H42" s="28">
        <f t="shared" si="13"/>
        <v>241152</v>
      </c>
      <c r="I42" s="28">
        <f t="shared" si="13"/>
        <v>0</v>
      </c>
      <c r="J42" s="28">
        <f t="shared" si="13"/>
        <v>289382.40000000002</v>
      </c>
      <c r="K42" s="28">
        <f t="shared" si="13"/>
        <v>0</v>
      </c>
      <c r="L42" s="28">
        <f t="shared" si="13"/>
        <v>347258.88</v>
      </c>
      <c r="M42" s="28">
        <f t="shared" si="13"/>
        <v>0</v>
      </c>
      <c r="N42" s="28">
        <f t="shared" si="13"/>
        <v>292597.76000000001</v>
      </c>
      <c r="O42" s="30">
        <f t="shared" si="9"/>
        <v>1572311.04</v>
      </c>
      <c r="P42" s="28">
        <f t="shared" ref="P42" si="14">P41*$B$28</f>
        <v>340720.98133333336</v>
      </c>
      <c r="Q42" s="28">
        <f>Q41*$B$28</f>
        <v>359545.12782222225</v>
      </c>
      <c r="R42" s="28">
        <f t="shared" ref="R42:AA42" si="15">R41*$B$28</f>
        <v>350133.0545777778</v>
      </c>
      <c r="S42" s="28">
        <f t="shared" si="15"/>
        <v>354839.09119999997</v>
      </c>
      <c r="T42" s="28">
        <f t="shared" si="15"/>
        <v>352486.07288888888</v>
      </c>
      <c r="U42" s="28">
        <f t="shared" si="15"/>
        <v>353662.58204444445</v>
      </c>
      <c r="V42" s="28">
        <f t="shared" si="15"/>
        <v>353074.32746666664</v>
      </c>
      <c r="W42" s="28">
        <f t="shared" si="15"/>
        <v>353368.45475555555</v>
      </c>
      <c r="X42" s="28">
        <f t="shared" si="15"/>
        <v>353221.39111111109</v>
      </c>
      <c r="Y42" s="28">
        <f t="shared" si="15"/>
        <v>353294.92293333332</v>
      </c>
      <c r="Z42" s="28">
        <f t="shared" si="15"/>
        <v>353258.15702222224</v>
      </c>
      <c r="AA42" s="28">
        <f t="shared" si="15"/>
        <v>353276.53997777781</v>
      </c>
      <c r="AB42" s="30">
        <f t="shared" si="11"/>
        <v>4230880.7031333335</v>
      </c>
      <c r="AC42" s="28">
        <f t="shared" ref="AC42:AD42" si="16">AC41*$B$28</f>
        <v>200000</v>
      </c>
      <c r="AD42" s="28">
        <f t="shared" si="16"/>
        <v>200000</v>
      </c>
      <c r="AE42" s="28">
        <f t="shared" ref="AE42:AN42" si="17">AE41*$B$28</f>
        <v>200000</v>
      </c>
      <c r="AF42" s="28">
        <f t="shared" si="17"/>
        <v>200000</v>
      </c>
      <c r="AG42" s="28">
        <f t="shared" si="17"/>
        <v>200000</v>
      </c>
      <c r="AH42" s="28">
        <f t="shared" si="17"/>
        <v>200000</v>
      </c>
      <c r="AI42" s="28">
        <f t="shared" si="17"/>
        <v>200000</v>
      </c>
      <c r="AJ42" s="28">
        <f t="shared" si="17"/>
        <v>200000</v>
      </c>
      <c r="AK42" s="28">
        <f t="shared" si="17"/>
        <v>200000</v>
      </c>
      <c r="AL42" s="28">
        <f t="shared" si="17"/>
        <v>200000</v>
      </c>
      <c r="AM42" s="28">
        <f t="shared" si="17"/>
        <v>200000</v>
      </c>
      <c r="AN42" s="28">
        <f t="shared" si="17"/>
        <v>200000</v>
      </c>
      <c r="AO42" s="28">
        <f t="shared" si="12"/>
        <v>2400000</v>
      </c>
      <c r="AP42" s="28">
        <f t="shared" ref="AP42:AP60" si="18">AO42+AB42+O42</f>
        <v>8203191.7431333335</v>
      </c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3" ht="15.75" customHeight="1" outlineLevel="1">
      <c r="A43" s="28" t="str">
        <f>A29</f>
        <v>Группа товара 2 (https://www.wildberries.ru/catalog/143555214/detail.aspx) - https://www.alibaba.com/picture/search.htm?imageType=oss&amp;escapeQp=true&amp;imageAddress=/icbuimgsearch/HCPSpZZGGc1687114619103.jpg&amp;sourceFrom=imageupload&amp;uploadType=uploadBtn</v>
      </c>
      <c r="B43" s="29">
        <f>D43/2</f>
        <v>50</v>
      </c>
      <c r="C43" s="29"/>
      <c r="D43" s="29">
        <f>$D$29*$E$29</f>
        <v>100</v>
      </c>
      <c r="E43" s="29"/>
      <c r="F43" s="29">
        <f>D$29*E$29</f>
        <v>100</v>
      </c>
      <c r="G43" s="29"/>
      <c r="H43" s="29">
        <f>F43*1.2</f>
        <v>120</v>
      </c>
      <c r="I43" s="29"/>
      <c r="J43" s="29">
        <f>H43*1.2</f>
        <v>144</v>
      </c>
      <c r="K43" s="29"/>
      <c r="L43" s="29">
        <f>J43*1.2</f>
        <v>172.79999999999998</v>
      </c>
      <c r="M43" s="29"/>
      <c r="N43" s="29">
        <f>AVERAGE(H43:L43)</f>
        <v>145.6</v>
      </c>
      <c r="O43" s="30">
        <f t="shared" si="9"/>
        <v>782.4</v>
      </c>
      <c r="P43" s="29">
        <f>AVERAGE(J43:N43)*1.1</f>
        <v>169.54666666666668</v>
      </c>
      <c r="Q43" s="29">
        <f>AVERAGE(L43:N43,P43)*1.1</f>
        <v>178.91377777777777</v>
      </c>
      <c r="R43" s="29">
        <f>AVERAGE(P43:Q43)</f>
        <v>174.23022222222221</v>
      </c>
      <c r="S43" s="29">
        <f t="shared" ref="S43:AA43" si="19">AVERAGE(Q43:R43)</f>
        <v>176.572</v>
      </c>
      <c r="T43" s="29">
        <f t="shared" si="19"/>
        <v>175.40111111111111</v>
      </c>
      <c r="U43" s="29">
        <f t="shared" si="19"/>
        <v>175.98655555555555</v>
      </c>
      <c r="V43" s="29">
        <f t="shared" si="19"/>
        <v>175.69383333333332</v>
      </c>
      <c r="W43" s="29">
        <f t="shared" si="19"/>
        <v>175.84019444444442</v>
      </c>
      <c r="X43" s="29">
        <f t="shared" si="19"/>
        <v>175.76701388888887</v>
      </c>
      <c r="Y43" s="29">
        <f t="shared" si="19"/>
        <v>175.80360416666664</v>
      </c>
      <c r="Z43" s="29">
        <f t="shared" si="19"/>
        <v>175.78530902777777</v>
      </c>
      <c r="AA43" s="29">
        <f t="shared" si="19"/>
        <v>175.79445659722222</v>
      </c>
      <c r="AB43" s="30">
        <f t="shared" si="11"/>
        <v>2105.3347447916663</v>
      </c>
      <c r="AC43" s="29">
        <v>250</v>
      </c>
      <c r="AD43" s="29">
        <v>250</v>
      </c>
      <c r="AE43" s="29">
        <v>250</v>
      </c>
      <c r="AF43" s="29">
        <v>250</v>
      </c>
      <c r="AG43" s="29">
        <v>250</v>
      </c>
      <c r="AH43" s="29">
        <v>250</v>
      </c>
      <c r="AI43" s="29">
        <v>250</v>
      </c>
      <c r="AJ43" s="29">
        <v>250</v>
      </c>
      <c r="AK43" s="29">
        <v>250</v>
      </c>
      <c r="AL43" s="29">
        <v>250</v>
      </c>
      <c r="AM43" s="29">
        <v>250</v>
      </c>
      <c r="AN43" s="29">
        <v>250</v>
      </c>
      <c r="AO43" s="28">
        <f t="shared" si="12"/>
        <v>3000</v>
      </c>
      <c r="AP43" s="28">
        <f t="shared" si="18"/>
        <v>5887.7347447916654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3" ht="15.75" customHeight="1" outlineLevel="1">
      <c r="A44" s="28" t="s">
        <v>58</v>
      </c>
      <c r="B44" s="28">
        <f t="shared" ref="B44:N44" si="20">B43*$B$29</f>
        <v>110000</v>
      </c>
      <c r="C44" s="28">
        <f t="shared" si="20"/>
        <v>0</v>
      </c>
      <c r="D44" s="28">
        <f>D43*$B$29</f>
        <v>220000</v>
      </c>
      <c r="E44" s="28">
        <f t="shared" si="20"/>
        <v>0</v>
      </c>
      <c r="F44" s="28">
        <f t="shared" si="20"/>
        <v>220000</v>
      </c>
      <c r="G44" s="28">
        <f t="shared" si="20"/>
        <v>0</v>
      </c>
      <c r="H44" s="28">
        <f t="shared" si="20"/>
        <v>264000</v>
      </c>
      <c r="I44" s="28">
        <f t="shared" si="20"/>
        <v>0</v>
      </c>
      <c r="J44" s="28">
        <f t="shared" si="20"/>
        <v>316800</v>
      </c>
      <c r="K44" s="28">
        <f t="shared" si="20"/>
        <v>0</v>
      </c>
      <c r="L44" s="28">
        <f t="shared" si="20"/>
        <v>380159.99999999994</v>
      </c>
      <c r="M44" s="28">
        <f t="shared" si="20"/>
        <v>0</v>
      </c>
      <c r="N44" s="28">
        <f t="shared" si="20"/>
        <v>320320</v>
      </c>
      <c r="O44" s="30">
        <f t="shared" si="9"/>
        <v>1721280</v>
      </c>
      <c r="P44" s="28">
        <f t="shared" ref="P44" si="21">P43*$B$29</f>
        <v>373002.66666666669</v>
      </c>
      <c r="Q44" s="28">
        <f>Q43*$B$29</f>
        <v>393610.31111111108</v>
      </c>
      <c r="R44" s="28">
        <f t="shared" ref="R44:AA44" si="22">R43*$B$29</f>
        <v>383306.48888888885</v>
      </c>
      <c r="S44" s="28">
        <f t="shared" si="22"/>
        <v>388458.4</v>
      </c>
      <c r="T44" s="28">
        <f t="shared" si="22"/>
        <v>385882.44444444444</v>
      </c>
      <c r="U44" s="28">
        <f t="shared" si="22"/>
        <v>387170.4222222222</v>
      </c>
      <c r="V44" s="28">
        <f t="shared" si="22"/>
        <v>386526.43333333329</v>
      </c>
      <c r="W44" s="28">
        <f t="shared" si="22"/>
        <v>386848.42777777772</v>
      </c>
      <c r="X44" s="28">
        <f t="shared" si="22"/>
        <v>386687.4305555555</v>
      </c>
      <c r="Y44" s="28">
        <f t="shared" si="22"/>
        <v>386767.92916666664</v>
      </c>
      <c r="Z44" s="28">
        <f t="shared" si="22"/>
        <v>386727.6798611111</v>
      </c>
      <c r="AA44" s="28">
        <f t="shared" si="22"/>
        <v>386747.8045138889</v>
      </c>
      <c r="AB44" s="30">
        <f t="shared" si="11"/>
        <v>4631736.4385416657</v>
      </c>
      <c r="AC44" s="28">
        <f t="shared" ref="AC44:AD44" si="23">AC43*$B$29</f>
        <v>550000</v>
      </c>
      <c r="AD44" s="28">
        <f t="shared" si="23"/>
        <v>550000</v>
      </c>
      <c r="AE44" s="28">
        <f t="shared" ref="AE44:AN44" si="24">AE43*$B$29</f>
        <v>550000</v>
      </c>
      <c r="AF44" s="28">
        <f t="shared" si="24"/>
        <v>550000</v>
      </c>
      <c r="AG44" s="28">
        <f t="shared" si="24"/>
        <v>550000</v>
      </c>
      <c r="AH44" s="28">
        <f t="shared" si="24"/>
        <v>550000</v>
      </c>
      <c r="AI44" s="28">
        <f t="shared" si="24"/>
        <v>550000</v>
      </c>
      <c r="AJ44" s="28">
        <f t="shared" si="24"/>
        <v>550000</v>
      </c>
      <c r="AK44" s="28">
        <f t="shared" si="24"/>
        <v>550000</v>
      </c>
      <c r="AL44" s="28">
        <f t="shared" si="24"/>
        <v>550000</v>
      </c>
      <c r="AM44" s="28">
        <f t="shared" si="24"/>
        <v>550000</v>
      </c>
      <c r="AN44" s="28">
        <f t="shared" si="24"/>
        <v>550000</v>
      </c>
      <c r="AO44" s="28">
        <f t="shared" si="12"/>
        <v>6600000</v>
      </c>
      <c r="AP44" s="28">
        <f>AO44+AB44+O44</f>
        <v>12953016.438541666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3" ht="15.75" customHeight="1" outlineLevel="1">
      <c r="A45" s="28" t="str">
        <f>A30</f>
        <v>Группа товара 3 (https://www.wildberries.ru/catalog/19233344/detail.aspx) - https://www.alibaba.com/product-detail/Seamless-women-s-Large-Size-Maternity_1600561506251.html?spm=a2700.picsearch.offer-list.245.7a5f5f93Wt5Tld</v>
      </c>
      <c r="B45" s="29">
        <f>D45/2</f>
        <v>50</v>
      </c>
      <c r="C45" s="29"/>
      <c r="D45" s="29">
        <f>$D$30*$E$30</f>
        <v>100</v>
      </c>
      <c r="E45" s="29"/>
      <c r="F45" s="29">
        <f>D$30*E$30</f>
        <v>100</v>
      </c>
      <c r="G45" s="29"/>
      <c r="H45" s="29">
        <f>F45*1.2</f>
        <v>120</v>
      </c>
      <c r="I45" s="29"/>
      <c r="J45" s="29">
        <f>H45*1.2</f>
        <v>144</v>
      </c>
      <c r="K45" s="29"/>
      <c r="L45" s="29">
        <f>J45*1.2</f>
        <v>172.79999999999998</v>
      </c>
      <c r="M45" s="29"/>
      <c r="N45" s="29">
        <f>AVERAGE(H45:L45)</f>
        <v>145.6</v>
      </c>
      <c r="O45" s="30">
        <f t="shared" si="9"/>
        <v>782.4</v>
      </c>
      <c r="P45" s="29">
        <f>AVERAGE(J45:N45)*1.1</f>
        <v>169.54666666666668</v>
      </c>
      <c r="Q45" s="29">
        <f>AVERAGE(L45:N45,P45)*1.1</f>
        <v>178.91377777777777</v>
      </c>
      <c r="R45" s="29">
        <f>AVERAGE(P45:Q45)</f>
        <v>174.23022222222221</v>
      </c>
      <c r="S45" s="29">
        <f t="shared" ref="S45:AA45" si="25">AVERAGE(Q45:R45)</f>
        <v>176.572</v>
      </c>
      <c r="T45" s="29">
        <f t="shared" si="25"/>
        <v>175.40111111111111</v>
      </c>
      <c r="U45" s="29">
        <f t="shared" si="25"/>
        <v>175.98655555555555</v>
      </c>
      <c r="V45" s="29">
        <f t="shared" si="25"/>
        <v>175.69383333333332</v>
      </c>
      <c r="W45" s="29">
        <f t="shared" si="25"/>
        <v>175.84019444444442</v>
      </c>
      <c r="X45" s="29">
        <f t="shared" si="25"/>
        <v>175.76701388888887</v>
      </c>
      <c r="Y45" s="29">
        <f t="shared" si="25"/>
        <v>175.80360416666664</v>
      </c>
      <c r="Z45" s="29">
        <f t="shared" si="25"/>
        <v>175.78530902777777</v>
      </c>
      <c r="AA45" s="29">
        <f t="shared" si="25"/>
        <v>175.79445659722222</v>
      </c>
      <c r="AB45" s="30">
        <f t="shared" si="11"/>
        <v>2105.3347447916663</v>
      </c>
      <c r="AC45" s="29">
        <v>250</v>
      </c>
      <c r="AD45" s="29">
        <v>250</v>
      </c>
      <c r="AE45" s="29">
        <v>250</v>
      </c>
      <c r="AF45" s="29">
        <v>250</v>
      </c>
      <c r="AG45" s="29">
        <v>250</v>
      </c>
      <c r="AH45" s="29">
        <v>250</v>
      </c>
      <c r="AI45" s="29">
        <v>250</v>
      </c>
      <c r="AJ45" s="29">
        <v>250</v>
      </c>
      <c r="AK45" s="29">
        <v>250</v>
      </c>
      <c r="AL45" s="29">
        <v>250</v>
      </c>
      <c r="AM45" s="29">
        <v>250</v>
      </c>
      <c r="AN45" s="29">
        <v>250</v>
      </c>
      <c r="AO45" s="28">
        <f t="shared" si="12"/>
        <v>3000</v>
      </c>
      <c r="AP45" s="28">
        <f t="shared" si="18"/>
        <v>5887.7347447916654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3" ht="15.75" customHeight="1" outlineLevel="1">
      <c r="A46" s="28" t="s">
        <v>58</v>
      </c>
      <c r="B46" s="28">
        <f t="shared" ref="B46:N46" si="26">B45*$B$30</f>
        <v>90000</v>
      </c>
      <c r="C46" s="28">
        <f t="shared" si="26"/>
        <v>0</v>
      </c>
      <c r="D46" s="28">
        <f t="shared" si="26"/>
        <v>180000</v>
      </c>
      <c r="E46" s="28">
        <f t="shared" si="26"/>
        <v>0</v>
      </c>
      <c r="F46" s="28">
        <f>F45*$B$30</f>
        <v>180000</v>
      </c>
      <c r="G46" s="28">
        <f t="shared" si="26"/>
        <v>0</v>
      </c>
      <c r="H46" s="28">
        <f t="shared" si="26"/>
        <v>216000</v>
      </c>
      <c r="I46" s="28">
        <f t="shared" si="26"/>
        <v>0</v>
      </c>
      <c r="J46" s="28">
        <f t="shared" si="26"/>
        <v>259200</v>
      </c>
      <c r="K46" s="28">
        <f t="shared" si="26"/>
        <v>0</v>
      </c>
      <c r="L46" s="28">
        <f t="shared" si="26"/>
        <v>311039.99999999994</v>
      </c>
      <c r="M46" s="28">
        <f t="shared" si="26"/>
        <v>0</v>
      </c>
      <c r="N46" s="28">
        <f t="shared" si="26"/>
        <v>262080</v>
      </c>
      <c r="O46" s="30">
        <f t="shared" si="9"/>
        <v>1408320</v>
      </c>
      <c r="P46" s="28">
        <f t="shared" ref="P46" si="27">P45*$B$30</f>
        <v>305184</v>
      </c>
      <c r="Q46" s="28">
        <f>Q45*$B$30</f>
        <v>322044.79999999999</v>
      </c>
      <c r="R46" s="28">
        <f t="shared" ref="R46:AA46" si="28">R45*$B$30</f>
        <v>313614.39999999997</v>
      </c>
      <c r="S46" s="28">
        <f t="shared" si="28"/>
        <v>317829.59999999998</v>
      </c>
      <c r="T46" s="28">
        <f t="shared" si="28"/>
        <v>315722</v>
      </c>
      <c r="U46" s="28">
        <f t="shared" si="28"/>
        <v>316775.8</v>
      </c>
      <c r="V46" s="28">
        <f t="shared" si="28"/>
        <v>316248.89999999997</v>
      </c>
      <c r="W46" s="28">
        <f t="shared" si="28"/>
        <v>316512.34999999998</v>
      </c>
      <c r="X46" s="28">
        <f t="shared" si="28"/>
        <v>316380.62499999994</v>
      </c>
      <c r="Y46" s="28">
        <f t="shared" si="28"/>
        <v>316446.48749999999</v>
      </c>
      <c r="Z46" s="28">
        <f t="shared" si="28"/>
        <v>316413.55624999997</v>
      </c>
      <c r="AA46" s="28">
        <f t="shared" si="28"/>
        <v>316430.02187499998</v>
      </c>
      <c r="AB46" s="30">
        <f t="shared" si="11"/>
        <v>3789602.5406249999</v>
      </c>
      <c r="AC46" s="28">
        <f t="shared" ref="AC46:AN46" si="29">AC45*$B$30</f>
        <v>450000</v>
      </c>
      <c r="AD46" s="28">
        <f t="shared" si="29"/>
        <v>450000</v>
      </c>
      <c r="AE46" s="28">
        <f t="shared" si="29"/>
        <v>450000</v>
      </c>
      <c r="AF46" s="28">
        <f t="shared" si="29"/>
        <v>450000</v>
      </c>
      <c r="AG46" s="28">
        <f t="shared" si="29"/>
        <v>450000</v>
      </c>
      <c r="AH46" s="28">
        <f t="shared" si="29"/>
        <v>450000</v>
      </c>
      <c r="AI46" s="28">
        <f t="shared" si="29"/>
        <v>450000</v>
      </c>
      <c r="AJ46" s="28">
        <f t="shared" si="29"/>
        <v>450000</v>
      </c>
      <c r="AK46" s="28">
        <f t="shared" si="29"/>
        <v>450000</v>
      </c>
      <c r="AL46" s="28">
        <f t="shared" si="29"/>
        <v>450000</v>
      </c>
      <c r="AM46" s="28">
        <f t="shared" si="29"/>
        <v>450000</v>
      </c>
      <c r="AN46" s="28">
        <f t="shared" si="29"/>
        <v>450000</v>
      </c>
      <c r="AO46" s="28">
        <f t="shared" si="12"/>
        <v>5400000</v>
      </c>
      <c r="AP46" s="28">
        <f t="shared" si="18"/>
        <v>10597922.540625</v>
      </c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3" ht="15.75" customHeight="1" outlineLevel="1">
      <c r="A47" s="28" t="str">
        <f>A31</f>
        <v>Группа товара 4(https://www.wildberries.ru/catalog/142807020/detail.aspx) - https://www.alibaba.com/product-detail/Classic-Lace-Attached-E-Cup-Size_60737441064.html?spm=a2700.picsearch.offer-list.29.3ce35f93UG3bdz</v>
      </c>
      <c r="B47" s="29">
        <f>D47/2</f>
        <v>56.400000000000006</v>
      </c>
      <c r="C47" s="29"/>
      <c r="D47" s="42">
        <f>$D$31*$E$31</f>
        <v>112.80000000000001</v>
      </c>
      <c r="E47" s="29"/>
      <c r="F47" s="29">
        <f>$D$31*E31</f>
        <v>112.80000000000001</v>
      </c>
      <c r="G47" s="29"/>
      <c r="H47" s="29">
        <f>F47*1.2</f>
        <v>135.36000000000001</v>
      </c>
      <c r="I47" s="29"/>
      <c r="J47" s="29">
        <f>H47*1.2</f>
        <v>162.43200000000002</v>
      </c>
      <c r="K47" s="29"/>
      <c r="L47" s="29">
        <f>J47*1.2</f>
        <v>194.91840000000002</v>
      </c>
      <c r="M47" s="29"/>
      <c r="N47" s="29">
        <f>AVERAGE(H47:L47)</f>
        <v>164.23680000000002</v>
      </c>
      <c r="O47" s="30">
        <f t="shared" si="9"/>
        <v>882.54720000000009</v>
      </c>
      <c r="P47" s="29">
        <f>AVERAGE(J47:N47)*1.1</f>
        <v>191.24864000000002</v>
      </c>
      <c r="Q47" s="29">
        <f>AVERAGE(L47:N47,P47)*1.1</f>
        <v>201.81474133333336</v>
      </c>
      <c r="R47" s="29">
        <f t="shared" ref="R47:AA47" si="30">AVERAGE(P47:Q47)</f>
        <v>196.53169066666669</v>
      </c>
      <c r="S47" s="29">
        <f t="shared" ref="S47" si="31">AVERAGE(Q47:R47)</f>
        <v>199.17321600000002</v>
      </c>
      <c r="T47" s="29">
        <f t="shared" ref="T47" si="32">AVERAGE(R47:S47)</f>
        <v>197.85245333333336</v>
      </c>
      <c r="U47" s="29">
        <f t="shared" ref="U47" si="33">AVERAGE(S47:T47)</f>
        <v>198.51283466666669</v>
      </c>
      <c r="V47" s="29">
        <f t="shared" ref="V47" si="34">AVERAGE(T47:U47)</f>
        <v>198.18264400000004</v>
      </c>
      <c r="W47" s="29">
        <f t="shared" ref="W47" si="35">AVERAGE(U47:V47)</f>
        <v>198.34773933333338</v>
      </c>
      <c r="X47" s="29">
        <f t="shared" ref="X47" si="36">AVERAGE(V47:W47)</f>
        <v>198.26519166666671</v>
      </c>
      <c r="Y47" s="29">
        <f t="shared" ref="Y47" si="37">AVERAGE(W47:X47)</f>
        <v>198.30646550000006</v>
      </c>
      <c r="Z47" s="29">
        <f t="shared" ref="Z47" si="38">AVERAGE(X47:Y47)</f>
        <v>198.2858285833334</v>
      </c>
      <c r="AA47" s="29">
        <f t="shared" ref="AA47" si="39">AVERAGE(Y47:Z47)</f>
        <v>198.29614704166673</v>
      </c>
      <c r="AB47" s="30">
        <f t="shared" ref="AB47:AB60" si="40">SUM(P47:AA47)</f>
        <v>2374.8175921250004</v>
      </c>
      <c r="AC47" s="29">
        <f>AA47</f>
        <v>198.29614704166673</v>
      </c>
      <c r="AD47" s="29">
        <v>100</v>
      </c>
      <c r="AE47" s="29">
        <v>100</v>
      </c>
      <c r="AF47" s="29">
        <v>100</v>
      </c>
      <c r="AG47" s="29">
        <v>100</v>
      </c>
      <c r="AH47" s="29">
        <v>100</v>
      </c>
      <c r="AI47" s="29">
        <v>100</v>
      </c>
      <c r="AJ47" s="29">
        <v>100</v>
      </c>
      <c r="AK47" s="29">
        <v>100</v>
      </c>
      <c r="AL47" s="29">
        <v>100</v>
      </c>
      <c r="AM47" s="29">
        <v>100</v>
      </c>
      <c r="AN47" s="29">
        <v>100</v>
      </c>
      <c r="AO47" s="28">
        <f t="shared" si="12"/>
        <v>1298.2961470416667</v>
      </c>
      <c r="AP47" s="28">
        <f t="shared" si="18"/>
        <v>4555.660939166667</v>
      </c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36"/>
    </row>
    <row r="48" spans="1:63" ht="15.75" customHeight="1" outlineLevel="1">
      <c r="A48" s="28" t="s">
        <v>58</v>
      </c>
      <c r="B48" s="28">
        <f>B47*$B$31</f>
        <v>31584.000000000004</v>
      </c>
      <c r="C48" s="28">
        <v>0</v>
      </c>
      <c r="D48" s="28">
        <f>D47*$B$31</f>
        <v>63168.000000000007</v>
      </c>
      <c r="E48" s="28">
        <f t="shared" ref="E48:N48" si="41">E47*$B$31</f>
        <v>0</v>
      </c>
      <c r="F48" s="28">
        <f t="shared" si="41"/>
        <v>63168.000000000007</v>
      </c>
      <c r="G48" s="28">
        <f t="shared" si="41"/>
        <v>0</v>
      </c>
      <c r="H48" s="28">
        <f t="shared" si="41"/>
        <v>75801.600000000006</v>
      </c>
      <c r="I48" s="28">
        <f t="shared" si="41"/>
        <v>0</v>
      </c>
      <c r="J48" s="28">
        <f t="shared" si="41"/>
        <v>90961.920000000013</v>
      </c>
      <c r="K48" s="28">
        <f t="shared" si="41"/>
        <v>0</v>
      </c>
      <c r="L48" s="28">
        <f t="shared" si="41"/>
        <v>109154.304</v>
      </c>
      <c r="M48" s="28">
        <f t="shared" si="41"/>
        <v>0</v>
      </c>
      <c r="N48" s="28">
        <f t="shared" si="41"/>
        <v>91972.608000000007</v>
      </c>
      <c r="O48" s="30">
        <f t="shared" si="9"/>
        <v>494226.43200000003</v>
      </c>
      <c r="P48" s="28">
        <f t="shared" ref="P48" si="42">P47*$B$31</f>
        <v>107099.23840000002</v>
      </c>
      <c r="Q48" s="28">
        <f>Q47*$B$31</f>
        <v>113016.25514666668</v>
      </c>
      <c r="R48" s="28">
        <f t="shared" ref="R48:AA48" si="43">R47*$B$31</f>
        <v>110057.74677333335</v>
      </c>
      <c r="S48" s="28">
        <f t="shared" si="43"/>
        <v>111537.00096000002</v>
      </c>
      <c r="T48" s="28">
        <f t="shared" si="43"/>
        <v>110797.37386666668</v>
      </c>
      <c r="U48" s="28">
        <f t="shared" si="43"/>
        <v>111167.18741333335</v>
      </c>
      <c r="V48" s="28">
        <f t="shared" si="43"/>
        <v>110982.28064000003</v>
      </c>
      <c r="W48" s="28">
        <f t="shared" si="43"/>
        <v>111074.73402666669</v>
      </c>
      <c r="X48" s="28">
        <f t="shared" si="43"/>
        <v>111028.50733333336</v>
      </c>
      <c r="Y48" s="28">
        <f t="shared" si="43"/>
        <v>111051.62068000004</v>
      </c>
      <c r="Z48" s="28">
        <f t="shared" si="43"/>
        <v>111040.0640066667</v>
      </c>
      <c r="AA48" s="28">
        <f t="shared" si="43"/>
        <v>111045.84234333337</v>
      </c>
      <c r="AB48" s="30">
        <f t="shared" si="40"/>
        <v>1329897.8515900003</v>
      </c>
      <c r="AC48" s="28">
        <f t="shared" ref="AC48:AN48" si="44">AC47*$B$31</f>
        <v>111045.84234333337</v>
      </c>
      <c r="AD48" s="28">
        <f t="shared" si="44"/>
        <v>56000</v>
      </c>
      <c r="AE48" s="28">
        <f t="shared" si="44"/>
        <v>56000</v>
      </c>
      <c r="AF48" s="28">
        <f t="shared" si="44"/>
        <v>56000</v>
      </c>
      <c r="AG48" s="28">
        <f t="shared" si="44"/>
        <v>56000</v>
      </c>
      <c r="AH48" s="28">
        <f t="shared" si="44"/>
        <v>56000</v>
      </c>
      <c r="AI48" s="28">
        <f t="shared" si="44"/>
        <v>56000</v>
      </c>
      <c r="AJ48" s="28">
        <f t="shared" si="44"/>
        <v>56000</v>
      </c>
      <c r="AK48" s="28">
        <f t="shared" si="44"/>
        <v>56000</v>
      </c>
      <c r="AL48" s="28">
        <f t="shared" si="44"/>
        <v>56000</v>
      </c>
      <c r="AM48" s="28">
        <f t="shared" si="44"/>
        <v>56000</v>
      </c>
      <c r="AN48" s="28">
        <f t="shared" si="44"/>
        <v>56000</v>
      </c>
      <c r="AO48" s="28">
        <f t="shared" si="12"/>
        <v>727045.84234333341</v>
      </c>
      <c r="AP48" s="28">
        <f t="shared" si="18"/>
        <v>2551170.1259333338</v>
      </c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36"/>
    </row>
    <row r="49" spans="1:63" ht="15.75" customHeight="1" outlineLevel="1">
      <c r="A49" s="28" t="str">
        <f>A32</f>
        <v>Группа товара 5 (https://www.wildberries.ru/catalog/142807020/detail.aspx) - https://www.alibaba.com/product-detail/Classic-Lace-Attached-E-Cup-Size_60737441064.html?spm=a2700.picsearch.offer-list.29.3ce35f93UG3bdz</v>
      </c>
      <c r="B49" s="29">
        <f>D49/2</f>
        <v>0</v>
      </c>
      <c r="C49" s="29"/>
      <c r="D49" s="42">
        <f>$D$32*$E$32</f>
        <v>0</v>
      </c>
      <c r="E49" s="29"/>
      <c r="F49" s="29">
        <f>$D$32*$E$32</f>
        <v>0</v>
      </c>
      <c r="G49" s="29"/>
      <c r="H49" s="29">
        <f>F49*1.2</f>
        <v>0</v>
      </c>
      <c r="I49" s="29"/>
      <c r="J49" s="29">
        <f>H49*1.2</f>
        <v>0</v>
      </c>
      <c r="K49" s="29"/>
      <c r="L49" s="29">
        <f>J49*1.2</f>
        <v>0</v>
      </c>
      <c r="M49" s="29"/>
      <c r="N49" s="29">
        <f>AVERAGE(H49:L49)</f>
        <v>0</v>
      </c>
      <c r="O49" s="30">
        <f t="shared" si="9"/>
        <v>0</v>
      </c>
      <c r="P49" s="29">
        <f>AVERAGE(J49:N49)*1.1</f>
        <v>0</v>
      </c>
      <c r="Q49" s="29">
        <f>AVERAGE(L49:N49,P49)*1.1</f>
        <v>0</v>
      </c>
      <c r="R49" s="29">
        <f>AVERAGE(P49:Q49)</f>
        <v>0</v>
      </c>
      <c r="S49" s="29">
        <f t="shared" ref="R49:AA49" si="45">Q49</f>
        <v>0</v>
      </c>
      <c r="T49" s="29">
        <f t="shared" si="45"/>
        <v>0</v>
      </c>
      <c r="U49" s="29">
        <f t="shared" si="45"/>
        <v>0</v>
      </c>
      <c r="V49" s="29">
        <f t="shared" si="45"/>
        <v>0</v>
      </c>
      <c r="W49" s="29">
        <f t="shared" si="45"/>
        <v>0</v>
      </c>
      <c r="X49" s="29">
        <f t="shared" si="45"/>
        <v>0</v>
      </c>
      <c r="Y49" s="29">
        <f t="shared" si="45"/>
        <v>0</v>
      </c>
      <c r="Z49" s="29">
        <f t="shared" si="45"/>
        <v>0</v>
      </c>
      <c r="AA49" s="29">
        <f t="shared" si="45"/>
        <v>0</v>
      </c>
      <c r="AB49" s="30">
        <f>SUM(P49:AA49)</f>
        <v>0</v>
      </c>
      <c r="AC49" s="29">
        <f>AA49</f>
        <v>0</v>
      </c>
      <c r="AD49" s="29">
        <v>100</v>
      </c>
      <c r="AE49" s="29">
        <v>100</v>
      </c>
      <c r="AF49" s="29">
        <v>100</v>
      </c>
      <c r="AG49" s="29">
        <v>100</v>
      </c>
      <c r="AH49" s="29">
        <v>100</v>
      </c>
      <c r="AI49" s="29">
        <v>100</v>
      </c>
      <c r="AJ49" s="29">
        <v>100</v>
      </c>
      <c r="AK49" s="29">
        <v>100</v>
      </c>
      <c r="AL49" s="29">
        <v>100</v>
      </c>
      <c r="AM49" s="29">
        <v>100</v>
      </c>
      <c r="AN49" s="29">
        <v>100</v>
      </c>
      <c r="AO49" s="28">
        <f t="shared" si="12"/>
        <v>1100</v>
      </c>
      <c r="AP49" s="28">
        <f t="shared" si="18"/>
        <v>1100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36"/>
    </row>
    <row r="50" spans="1:63" ht="15.75" customHeight="1" outlineLevel="1">
      <c r="A50" s="28" t="s">
        <v>58</v>
      </c>
      <c r="B50" s="28">
        <f>B49*$B$32</f>
        <v>0</v>
      </c>
      <c r="C50" s="28">
        <v>0</v>
      </c>
      <c r="D50" s="28">
        <f>D49*$B$32</f>
        <v>0</v>
      </c>
      <c r="E50" s="28">
        <f t="shared" ref="E50:N50" si="46">E49*$B$32</f>
        <v>0</v>
      </c>
      <c r="F50" s="28">
        <f t="shared" si="46"/>
        <v>0</v>
      </c>
      <c r="G50" s="28">
        <f t="shared" si="46"/>
        <v>0</v>
      </c>
      <c r="H50" s="28">
        <f t="shared" si="46"/>
        <v>0</v>
      </c>
      <c r="I50" s="28">
        <f t="shared" si="46"/>
        <v>0</v>
      </c>
      <c r="J50" s="28">
        <f>J49*$B$32</f>
        <v>0</v>
      </c>
      <c r="K50" s="28">
        <f t="shared" si="46"/>
        <v>0</v>
      </c>
      <c r="L50" s="28">
        <f t="shared" si="46"/>
        <v>0</v>
      </c>
      <c r="M50" s="28">
        <f t="shared" si="46"/>
        <v>0</v>
      </c>
      <c r="N50" s="28">
        <f t="shared" si="46"/>
        <v>0</v>
      </c>
      <c r="O50" s="30">
        <f t="shared" si="9"/>
        <v>0</v>
      </c>
      <c r="P50" s="28">
        <f t="shared" ref="P50" si="47">P49*$B$32</f>
        <v>0</v>
      </c>
      <c r="Q50" s="28">
        <f>Q49*$B$32</f>
        <v>0</v>
      </c>
      <c r="R50" s="28">
        <f t="shared" ref="R50" si="48">R49*$B$32</f>
        <v>0</v>
      </c>
      <c r="S50" s="28">
        <f t="shared" ref="S50:AA50" si="49">S49*$B$32</f>
        <v>0</v>
      </c>
      <c r="T50" s="28">
        <f t="shared" si="49"/>
        <v>0</v>
      </c>
      <c r="U50" s="28">
        <f t="shared" si="49"/>
        <v>0</v>
      </c>
      <c r="V50" s="28">
        <f t="shared" si="49"/>
        <v>0</v>
      </c>
      <c r="W50" s="28">
        <f t="shared" si="49"/>
        <v>0</v>
      </c>
      <c r="X50" s="28">
        <f t="shared" si="49"/>
        <v>0</v>
      </c>
      <c r="Y50" s="28">
        <f t="shared" si="49"/>
        <v>0</v>
      </c>
      <c r="Z50" s="28">
        <f t="shared" si="49"/>
        <v>0</v>
      </c>
      <c r="AA50" s="28">
        <f t="shared" si="49"/>
        <v>0</v>
      </c>
      <c r="AB50" s="30">
        <f t="shared" si="40"/>
        <v>0</v>
      </c>
      <c r="AC50" s="28">
        <f>AC49*$B$32</f>
        <v>0</v>
      </c>
      <c r="AD50" s="28">
        <f>AD49*$B$32</f>
        <v>150000</v>
      </c>
      <c r="AE50" s="28">
        <f t="shared" ref="AE50:AN50" si="50">AE49*$B$32</f>
        <v>150000</v>
      </c>
      <c r="AF50" s="28">
        <f t="shared" si="50"/>
        <v>150000</v>
      </c>
      <c r="AG50" s="28">
        <f t="shared" si="50"/>
        <v>150000</v>
      </c>
      <c r="AH50" s="28">
        <f t="shared" si="50"/>
        <v>150000</v>
      </c>
      <c r="AI50" s="28">
        <f t="shared" si="50"/>
        <v>150000</v>
      </c>
      <c r="AJ50" s="28">
        <f t="shared" si="50"/>
        <v>150000</v>
      </c>
      <c r="AK50" s="28">
        <f t="shared" si="50"/>
        <v>150000</v>
      </c>
      <c r="AL50" s="28">
        <f t="shared" si="50"/>
        <v>150000</v>
      </c>
      <c r="AM50" s="28">
        <f t="shared" si="50"/>
        <v>150000</v>
      </c>
      <c r="AN50" s="28">
        <f t="shared" si="50"/>
        <v>150000</v>
      </c>
      <c r="AO50" s="28">
        <f t="shared" si="12"/>
        <v>1650000</v>
      </c>
      <c r="AP50" s="28">
        <f t="shared" si="18"/>
        <v>1650000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36"/>
    </row>
    <row r="51" spans="1:63" ht="15.75" customHeight="1" outlineLevel="1">
      <c r="A51" s="28" t="str">
        <f>A33</f>
        <v>Группа товара 6 (https://www.wildberries.ru/catalog/153278625/detail.aspx?targetUrl=SG) - https://www.alibaba.com/product-detail/Short-Kimono-Women-with-Gold-Glitter_1600169146372.html?spm=a2700.galleryofferlist.normal_offer.d_title.55a23841mj8dzX</v>
      </c>
      <c r="B51" s="29">
        <f>D51/2</f>
        <v>29.75</v>
      </c>
      <c r="C51" s="29"/>
      <c r="D51" s="42">
        <f>$D$33*$E$33</f>
        <v>59.5</v>
      </c>
      <c r="E51" s="29"/>
      <c r="F51" s="29">
        <f>$D$33*$E$33</f>
        <v>59.5</v>
      </c>
      <c r="G51" s="29"/>
      <c r="H51" s="29">
        <f>F51*1.2</f>
        <v>71.399999999999991</v>
      </c>
      <c r="I51" s="29"/>
      <c r="J51" s="29">
        <f>H51*1.2</f>
        <v>85.679999999999993</v>
      </c>
      <c r="K51" s="29"/>
      <c r="L51" s="29">
        <f>J51*1.2</f>
        <v>102.81599999999999</v>
      </c>
      <c r="M51" s="29"/>
      <c r="N51" s="29">
        <f>AVERAGE(H51:L51)</f>
        <v>86.631999999999991</v>
      </c>
      <c r="O51" s="30">
        <f t="shared" si="9"/>
        <v>465.52799999999996</v>
      </c>
      <c r="P51" s="29">
        <f>AVERAGE(J51:N51)*1.1</f>
        <v>100.88026666666667</v>
      </c>
      <c r="Q51" s="29">
        <f>AVERAGE(L51:N51,P51)*1.1</f>
        <v>106.45369777777778</v>
      </c>
      <c r="R51" s="29">
        <f>AVERAGE(P51:Q51)</f>
        <v>103.66698222222223</v>
      </c>
      <c r="S51" s="29">
        <f t="shared" ref="S51:AA51" si="51">AVERAGE(Q51:R51)</f>
        <v>105.06034</v>
      </c>
      <c r="T51" s="29">
        <f t="shared" si="51"/>
        <v>104.36366111111111</v>
      </c>
      <c r="U51" s="29">
        <f t="shared" si="51"/>
        <v>104.71200055555556</v>
      </c>
      <c r="V51" s="29">
        <f t="shared" si="51"/>
        <v>104.53783083333335</v>
      </c>
      <c r="W51" s="29">
        <f t="shared" si="51"/>
        <v>104.62491569444445</v>
      </c>
      <c r="X51" s="29">
        <f t="shared" si="51"/>
        <v>104.58137326388891</v>
      </c>
      <c r="Y51" s="29">
        <f t="shared" si="51"/>
        <v>104.60314447916667</v>
      </c>
      <c r="Z51" s="29">
        <f t="shared" si="51"/>
        <v>104.59225887152779</v>
      </c>
      <c r="AA51" s="29">
        <f t="shared" si="51"/>
        <v>104.59770167534722</v>
      </c>
      <c r="AB51" s="30">
        <f t="shared" si="40"/>
        <v>1252.6741731510417</v>
      </c>
      <c r="AC51" s="29">
        <f>AA51</f>
        <v>104.59770167534722</v>
      </c>
      <c r="AD51" s="29">
        <v>100</v>
      </c>
      <c r="AE51" s="29">
        <v>100</v>
      </c>
      <c r="AF51" s="29">
        <v>100</v>
      </c>
      <c r="AG51" s="29">
        <v>100</v>
      </c>
      <c r="AH51" s="29">
        <v>100</v>
      </c>
      <c r="AI51" s="29">
        <v>100</v>
      </c>
      <c r="AJ51" s="29">
        <v>100</v>
      </c>
      <c r="AK51" s="29">
        <v>100</v>
      </c>
      <c r="AL51" s="29">
        <v>100</v>
      </c>
      <c r="AM51" s="29">
        <v>100</v>
      </c>
      <c r="AN51" s="29">
        <v>100</v>
      </c>
      <c r="AO51" s="28">
        <f t="shared" si="12"/>
        <v>1204.5977016753473</v>
      </c>
      <c r="AP51" s="28">
        <f t="shared" si="18"/>
        <v>2922.7998748263885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36"/>
    </row>
    <row r="52" spans="1:63" ht="15.75" customHeight="1" outlineLevel="1">
      <c r="A52" s="28" t="s">
        <v>58</v>
      </c>
      <c r="B52" s="28">
        <f>B51*$B$33</f>
        <v>89250</v>
      </c>
      <c r="C52" s="28">
        <v>0</v>
      </c>
      <c r="D52" s="28">
        <f>D51*$B$33</f>
        <v>178500</v>
      </c>
      <c r="E52" s="28">
        <f t="shared" ref="E52:N52" si="52">E51*$B$33</f>
        <v>0</v>
      </c>
      <c r="F52" s="28">
        <f t="shared" si="52"/>
        <v>178500</v>
      </c>
      <c r="G52" s="28">
        <f t="shared" si="52"/>
        <v>0</v>
      </c>
      <c r="H52" s="28">
        <f t="shared" si="52"/>
        <v>214199.99999999997</v>
      </c>
      <c r="I52" s="28">
        <f t="shared" si="52"/>
        <v>0</v>
      </c>
      <c r="J52" s="28">
        <f>J51*$B$33</f>
        <v>257039.99999999997</v>
      </c>
      <c r="K52" s="28">
        <f t="shared" si="52"/>
        <v>0</v>
      </c>
      <c r="L52" s="28">
        <f t="shared" si="52"/>
        <v>308447.99999999994</v>
      </c>
      <c r="M52" s="28">
        <f t="shared" si="52"/>
        <v>0</v>
      </c>
      <c r="N52" s="28">
        <f t="shared" si="52"/>
        <v>259895.99999999997</v>
      </c>
      <c r="O52" s="30">
        <f>SUM(C52:N52)</f>
        <v>1396584</v>
      </c>
      <c r="P52" s="28">
        <f t="shared" ref="P52" si="53">P51*$B$33</f>
        <v>302640.8</v>
      </c>
      <c r="Q52" s="28">
        <f>Q51*$B$33</f>
        <v>319361.09333333332</v>
      </c>
      <c r="R52" s="28">
        <f t="shared" ref="R52" si="54">R51*$B$33</f>
        <v>311000.94666666671</v>
      </c>
      <c r="S52" s="28">
        <f t="shared" ref="S52:AA52" si="55">S51*$B$33</f>
        <v>315181.02</v>
      </c>
      <c r="T52" s="28">
        <f t="shared" si="55"/>
        <v>313090.98333333334</v>
      </c>
      <c r="U52" s="28">
        <f t="shared" si="55"/>
        <v>314136.00166666671</v>
      </c>
      <c r="V52" s="28">
        <f t="shared" si="55"/>
        <v>313613.49250000005</v>
      </c>
      <c r="W52" s="28">
        <f t="shared" si="55"/>
        <v>313874.74708333338</v>
      </c>
      <c r="X52" s="28">
        <f t="shared" si="55"/>
        <v>313744.11979166674</v>
      </c>
      <c r="Y52" s="28">
        <f t="shared" si="55"/>
        <v>313809.43343750003</v>
      </c>
      <c r="Z52" s="28">
        <f t="shared" si="55"/>
        <v>313776.77661458339</v>
      </c>
      <c r="AA52" s="28">
        <f t="shared" si="55"/>
        <v>313793.10502604168</v>
      </c>
      <c r="AB52" s="30">
        <f t="shared" si="40"/>
        <v>3758022.519453126</v>
      </c>
      <c r="AC52" s="28">
        <f>AC51*$B$33</f>
        <v>313793.10502604168</v>
      </c>
      <c r="AD52" s="28">
        <f>AD51*$B$33</f>
        <v>300000</v>
      </c>
      <c r="AE52" s="28">
        <f t="shared" ref="AE52:AN52" si="56">AE51*$B$33</f>
        <v>300000</v>
      </c>
      <c r="AF52" s="28">
        <f t="shared" si="56"/>
        <v>300000</v>
      </c>
      <c r="AG52" s="28">
        <f t="shared" si="56"/>
        <v>300000</v>
      </c>
      <c r="AH52" s="28">
        <f t="shared" si="56"/>
        <v>300000</v>
      </c>
      <c r="AI52" s="28">
        <f t="shared" si="56"/>
        <v>300000</v>
      </c>
      <c r="AJ52" s="28">
        <f t="shared" si="56"/>
        <v>300000</v>
      </c>
      <c r="AK52" s="28">
        <f t="shared" si="56"/>
        <v>300000</v>
      </c>
      <c r="AL52" s="28">
        <f t="shared" si="56"/>
        <v>300000</v>
      </c>
      <c r="AM52" s="28">
        <f t="shared" si="56"/>
        <v>300000</v>
      </c>
      <c r="AN52" s="28">
        <f t="shared" si="56"/>
        <v>300000</v>
      </c>
      <c r="AO52" s="28">
        <f t="shared" si="12"/>
        <v>3613793.1050260416</v>
      </c>
      <c r="AP52" s="28">
        <f t="shared" si="18"/>
        <v>8768399.6244791672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36"/>
    </row>
    <row r="53" spans="1:63" ht="15.75" customHeight="1" outlineLevel="1">
      <c r="A53" s="28" t="str">
        <f>A34</f>
        <v>Группа товара 7 (https://www.wildberries.ru/catalog/138930715/detail.aspx) - https://www.alibaba.com/product-detail/Wholes-cheap-price-100-cotton-sexy_1600776352331.html?spm=a2700.picsearch.offer-list.46.549a5f93NiRd7T</v>
      </c>
      <c r="B53" s="29">
        <f>D53/2</f>
        <v>24.200000000000003</v>
      </c>
      <c r="C53" s="29"/>
      <c r="D53" s="42">
        <f>$D$34*$E$34</f>
        <v>48.400000000000006</v>
      </c>
      <c r="E53" s="29"/>
      <c r="F53" s="29">
        <f>$D$34*$E$34</f>
        <v>48.400000000000006</v>
      </c>
      <c r="G53" s="29"/>
      <c r="H53" s="29">
        <f>F53*1.2</f>
        <v>58.080000000000005</v>
      </c>
      <c r="I53" s="29"/>
      <c r="J53" s="29">
        <f>H53*1.2</f>
        <v>69.695999999999998</v>
      </c>
      <c r="K53" s="29"/>
      <c r="L53" s="29">
        <f>J53*1.2</f>
        <v>83.635199999999998</v>
      </c>
      <c r="M53" s="29"/>
      <c r="N53" s="29">
        <f>AVERAGE(H53:L53)</f>
        <v>70.470399999999998</v>
      </c>
      <c r="O53" s="30">
        <f t="shared" si="9"/>
        <v>378.6816</v>
      </c>
      <c r="P53" s="29">
        <f>AVERAGE(J53:N53)*1.1</f>
        <v>82.060586666666666</v>
      </c>
      <c r="Q53" s="29">
        <f>AVERAGE(L53:N53,P53)*1.1</f>
        <v>86.594268444444452</v>
      </c>
      <c r="R53" s="29">
        <f>AVERAGE(P53:Q53)</f>
        <v>84.327427555555559</v>
      </c>
      <c r="S53" s="29">
        <f>AVERAGE(Q53:R53)</f>
        <v>85.460847999999999</v>
      </c>
      <c r="T53" s="29">
        <f>AVERAGE(R53:S53)</f>
        <v>84.894137777777786</v>
      </c>
      <c r="U53" s="29">
        <f>AVERAGE(S53:T53)</f>
        <v>85.177492888888892</v>
      </c>
      <c r="V53" s="29">
        <f>AVERAGE(T53:U53)</f>
        <v>85.035815333333346</v>
      </c>
      <c r="W53" s="29">
        <f t="shared" ref="S53:AA53" si="57">AVERAGE(U53:V53)</f>
        <v>85.106654111111112</v>
      </c>
      <c r="X53" s="29">
        <f t="shared" si="57"/>
        <v>85.071234722222229</v>
      </c>
      <c r="Y53" s="29">
        <f t="shared" si="57"/>
        <v>85.088944416666664</v>
      </c>
      <c r="Z53" s="29">
        <f t="shared" si="57"/>
        <v>85.080089569444453</v>
      </c>
      <c r="AA53" s="29">
        <f t="shared" si="57"/>
        <v>85.084516993055558</v>
      </c>
      <c r="AB53" s="30">
        <f t="shared" si="40"/>
        <v>1018.9820164791668</v>
      </c>
      <c r="AC53" s="29">
        <f>AA53</f>
        <v>85.084516993055558</v>
      </c>
      <c r="AD53" s="29">
        <v>100</v>
      </c>
      <c r="AE53" s="29">
        <v>100</v>
      </c>
      <c r="AF53" s="29">
        <v>100</v>
      </c>
      <c r="AG53" s="29">
        <v>100</v>
      </c>
      <c r="AH53" s="29">
        <v>100</v>
      </c>
      <c r="AI53" s="29">
        <v>100</v>
      </c>
      <c r="AJ53" s="29">
        <v>100</v>
      </c>
      <c r="AK53" s="29">
        <v>100</v>
      </c>
      <c r="AL53" s="29">
        <v>100</v>
      </c>
      <c r="AM53" s="29">
        <v>100</v>
      </c>
      <c r="AN53" s="29">
        <v>100</v>
      </c>
      <c r="AO53" s="28">
        <f t="shared" si="12"/>
        <v>1185.0845169930556</v>
      </c>
      <c r="AP53" s="28">
        <f t="shared" si="18"/>
        <v>2582.7481334722224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36"/>
    </row>
    <row r="54" spans="1:63" ht="15.75" customHeight="1" outlineLevel="1">
      <c r="A54" s="28" t="s">
        <v>58</v>
      </c>
      <c r="B54" s="28">
        <f>B53*$B$34</f>
        <v>53240.000000000007</v>
      </c>
      <c r="C54" s="28">
        <v>0</v>
      </c>
      <c r="D54" s="28">
        <f>D53*$B$34</f>
        <v>106480.00000000001</v>
      </c>
      <c r="E54" s="28">
        <f t="shared" ref="E54:N54" si="58">E53*$B$34</f>
        <v>0</v>
      </c>
      <c r="F54" s="28">
        <f t="shared" si="58"/>
        <v>106480.00000000001</v>
      </c>
      <c r="G54" s="28">
        <f t="shared" si="58"/>
        <v>0</v>
      </c>
      <c r="H54" s="28">
        <f t="shared" si="58"/>
        <v>127776.00000000001</v>
      </c>
      <c r="I54" s="28">
        <f t="shared" si="58"/>
        <v>0</v>
      </c>
      <c r="J54" s="28">
        <f t="shared" si="58"/>
        <v>153331.19999999998</v>
      </c>
      <c r="K54" s="28">
        <f t="shared" si="58"/>
        <v>0</v>
      </c>
      <c r="L54" s="28">
        <f t="shared" si="58"/>
        <v>183997.44</v>
      </c>
      <c r="M54" s="28">
        <f t="shared" si="58"/>
        <v>0</v>
      </c>
      <c r="N54" s="28">
        <f t="shared" si="58"/>
        <v>155034.88</v>
      </c>
      <c r="O54" s="30">
        <f t="shared" si="9"/>
        <v>833099.52000000014</v>
      </c>
      <c r="P54" s="28">
        <f t="shared" ref="P54" si="59">P53*$B$34</f>
        <v>180533.29066666667</v>
      </c>
      <c r="Q54" s="28">
        <f>Q53*$B$34</f>
        <v>190507.39057777778</v>
      </c>
      <c r="R54" s="28">
        <f t="shared" ref="R54:AA54" si="60">R53*$B$34</f>
        <v>185520.34062222223</v>
      </c>
      <c r="S54" s="28">
        <f t="shared" si="60"/>
        <v>188013.86559999999</v>
      </c>
      <c r="T54" s="28">
        <f t="shared" si="60"/>
        <v>186767.10311111112</v>
      </c>
      <c r="U54" s="28">
        <f t="shared" si="60"/>
        <v>187390.48435555556</v>
      </c>
      <c r="V54" s="28">
        <f t="shared" si="60"/>
        <v>187078.79373333335</v>
      </c>
      <c r="W54" s="28">
        <f t="shared" si="60"/>
        <v>187234.63904444446</v>
      </c>
      <c r="X54" s="28">
        <f t="shared" si="60"/>
        <v>187156.71638888889</v>
      </c>
      <c r="Y54" s="28">
        <f t="shared" si="60"/>
        <v>187195.67771666666</v>
      </c>
      <c r="Z54" s="28">
        <f t="shared" si="60"/>
        <v>187176.1970527778</v>
      </c>
      <c r="AA54" s="28">
        <f t="shared" si="60"/>
        <v>187185.93738472223</v>
      </c>
      <c r="AB54" s="30">
        <f t="shared" si="40"/>
        <v>2241760.4362541665</v>
      </c>
      <c r="AC54" s="28">
        <f t="shared" ref="AC54:AN54" si="61">AC53*$B$34</f>
        <v>187185.93738472223</v>
      </c>
      <c r="AD54" s="28">
        <f t="shared" si="61"/>
        <v>220000</v>
      </c>
      <c r="AE54" s="28">
        <f t="shared" si="61"/>
        <v>220000</v>
      </c>
      <c r="AF54" s="28">
        <f t="shared" si="61"/>
        <v>220000</v>
      </c>
      <c r="AG54" s="28">
        <f t="shared" si="61"/>
        <v>220000</v>
      </c>
      <c r="AH54" s="28">
        <f t="shared" si="61"/>
        <v>220000</v>
      </c>
      <c r="AI54" s="28">
        <f t="shared" si="61"/>
        <v>220000</v>
      </c>
      <c r="AJ54" s="28">
        <f t="shared" si="61"/>
        <v>220000</v>
      </c>
      <c r="AK54" s="28">
        <f t="shared" si="61"/>
        <v>220000</v>
      </c>
      <c r="AL54" s="28">
        <f t="shared" si="61"/>
        <v>220000</v>
      </c>
      <c r="AM54" s="28">
        <f t="shared" si="61"/>
        <v>220000</v>
      </c>
      <c r="AN54" s="28">
        <f t="shared" si="61"/>
        <v>220000</v>
      </c>
      <c r="AO54" s="28">
        <f t="shared" si="12"/>
        <v>2607185.9373847223</v>
      </c>
      <c r="AP54" s="28">
        <f t="shared" si="18"/>
        <v>5682045.8936388893</v>
      </c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36"/>
    </row>
    <row r="55" spans="1:63" ht="15.75" customHeight="1" outlineLevel="1">
      <c r="A55" s="28" t="str">
        <f>A35</f>
        <v>Группа товара 8 (https://www.wildberries.ru/catalog/160938456/detail.aspx) - https://www.alibaba.com/product-detail/Sexy-lingerie-set-three-point-sexy_1600286034089.html?spm=a2700.picsearch.offer-list.145.54ea5f93QuTOnH</v>
      </c>
      <c r="B55" s="29">
        <f>D55/2</f>
        <v>60.150000000000006</v>
      </c>
      <c r="C55" s="29"/>
      <c r="D55" s="42">
        <f>$D$35*$E$35</f>
        <v>120.30000000000001</v>
      </c>
      <c r="E55" s="29"/>
      <c r="F55" s="29">
        <f>$D$35*$E$35</f>
        <v>120.30000000000001</v>
      </c>
      <c r="G55" s="29"/>
      <c r="H55" s="29">
        <f>F55*1.2</f>
        <v>144.36000000000001</v>
      </c>
      <c r="I55" s="29"/>
      <c r="J55" s="29">
        <f>H55*1.2</f>
        <v>173.232</v>
      </c>
      <c r="K55" s="29"/>
      <c r="L55" s="29">
        <f>J55*1.2</f>
        <v>207.8784</v>
      </c>
      <c r="M55" s="29"/>
      <c r="N55" s="29">
        <f>AVERAGE(H55:L55)</f>
        <v>175.15679999999998</v>
      </c>
      <c r="O55" s="30">
        <f t="shared" si="9"/>
        <v>941.22720000000004</v>
      </c>
      <c r="P55" s="29">
        <f>AVERAGE(J55:N55)*1.1</f>
        <v>203.96464000000003</v>
      </c>
      <c r="Q55" s="29">
        <f>AVERAGE(L55:N55,P55)*1.1</f>
        <v>215.23327466666666</v>
      </c>
      <c r="R55" s="29">
        <f>AVERAGE(P55:Q55)</f>
        <v>209.59895733333335</v>
      </c>
      <c r="S55" s="29">
        <f t="shared" ref="S55:AA55" si="62">AVERAGE(Q55:R55)</f>
        <v>212.41611599999999</v>
      </c>
      <c r="T55" s="29">
        <f t="shared" si="62"/>
        <v>211.00753666666668</v>
      </c>
      <c r="U55" s="29">
        <f t="shared" si="62"/>
        <v>211.71182633333333</v>
      </c>
      <c r="V55" s="29">
        <f t="shared" si="62"/>
        <v>211.35968150000002</v>
      </c>
      <c r="W55" s="29">
        <f t="shared" si="62"/>
        <v>211.53575391666669</v>
      </c>
      <c r="X55" s="29">
        <f t="shared" si="62"/>
        <v>211.44771770833336</v>
      </c>
      <c r="Y55" s="29">
        <f t="shared" si="62"/>
        <v>211.49173581250002</v>
      </c>
      <c r="Z55" s="29">
        <f t="shared" si="62"/>
        <v>211.46972676041668</v>
      </c>
      <c r="AA55" s="29">
        <f t="shared" si="62"/>
        <v>211.48073128645837</v>
      </c>
      <c r="AB55" s="30">
        <f t="shared" si="40"/>
        <v>2532.7176979843748</v>
      </c>
      <c r="AC55" s="29">
        <f>AA55</f>
        <v>211.48073128645837</v>
      </c>
      <c r="AD55" s="29">
        <v>100</v>
      </c>
      <c r="AE55" s="29">
        <v>100</v>
      </c>
      <c r="AF55" s="29">
        <v>100</v>
      </c>
      <c r="AG55" s="29">
        <v>100</v>
      </c>
      <c r="AH55" s="29">
        <v>100</v>
      </c>
      <c r="AI55" s="29">
        <v>100</v>
      </c>
      <c r="AJ55" s="29">
        <v>100</v>
      </c>
      <c r="AK55" s="29">
        <v>100</v>
      </c>
      <c r="AL55" s="29">
        <v>100</v>
      </c>
      <c r="AM55" s="29">
        <v>100</v>
      </c>
      <c r="AN55" s="29">
        <v>100</v>
      </c>
      <c r="AO55" s="28">
        <f t="shared" si="12"/>
        <v>1311.4807312864584</v>
      </c>
      <c r="AP55" s="28">
        <f t="shared" si="18"/>
        <v>4785.4256292708333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36"/>
    </row>
    <row r="56" spans="1:63" ht="15.75" customHeight="1" outlineLevel="1">
      <c r="A56" s="28" t="s">
        <v>58</v>
      </c>
      <c r="B56" s="28">
        <f>B55*$B$35</f>
        <v>541350</v>
      </c>
      <c r="C56" s="28">
        <v>0</v>
      </c>
      <c r="D56" s="28">
        <f>D55*$B$35</f>
        <v>1082700</v>
      </c>
      <c r="E56" s="28">
        <f t="shared" ref="E56:N56" si="63">E55*$B$35</f>
        <v>0</v>
      </c>
      <c r="F56" s="28">
        <f t="shared" si="63"/>
        <v>1082700</v>
      </c>
      <c r="G56" s="28">
        <f t="shared" si="63"/>
        <v>0</v>
      </c>
      <c r="H56" s="28">
        <f t="shared" si="63"/>
        <v>1299240.0000000002</v>
      </c>
      <c r="I56" s="28">
        <f t="shared" si="63"/>
        <v>0</v>
      </c>
      <c r="J56" s="28">
        <f t="shared" si="63"/>
        <v>1559088</v>
      </c>
      <c r="K56" s="28">
        <f t="shared" si="63"/>
        <v>0</v>
      </c>
      <c r="L56" s="28">
        <f t="shared" si="63"/>
        <v>1870905.6</v>
      </c>
      <c r="M56" s="28">
        <f t="shared" si="63"/>
        <v>0</v>
      </c>
      <c r="N56" s="28">
        <f t="shared" si="63"/>
        <v>1576411.1999999997</v>
      </c>
      <c r="O56" s="30">
        <f t="shared" si="9"/>
        <v>8471044.7999999989</v>
      </c>
      <c r="P56" s="28">
        <f t="shared" ref="P56" si="64">P55*$B$35</f>
        <v>1835681.7600000002</v>
      </c>
      <c r="Q56" s="28">
        <f>Q55*$B$35</f>
        <v>1937099.4719999998</v>
      </c>
      <c r="R56" s="28">
        <f t="shared" ref="R56:AA56" si="65">R55*$B$35</f>
        <v>1886390.6160000002</v>
      </c>
      <c r="S56" s="28">
        <f t="shared" si="65"/>
        <v>1911745.044</v>
      </c>
      <c r="T56" s="28">
        <f t="shared" si="65"/>
        <v>1899067.83</v>
      </c>
      <c r="U56" s="28">
        <f t="shared" si="65"/>
        <v>1905406.4369999999</v>
      </c>
      <c r="V56" s="28">
        <f t="shared" si="65"/>
        <v>1902237.1335000002</v>
      </c>
      <c r="W56" s="28">
        <f t="shared" si="65"/>
        <v>1903821.7852500002</v>
      </c>
      <c r="X56" s="28">
        <f t="shared" si="65"/>
        <v>1903029.4593750003</v>
      </c>
      <c r="Y56" s="28">
        <f t="shared" si="65"/>
        <v>1903425.6223125001</v>
      </c>
      <c r="Z56" s="28">
        <f t="shared" si="65"/>
        <v>1903227.5408437501</v>
      </c>
      <c r="AA56" s="28">
        <f t="shared" si="65"/>
        <v>1903326.5815781252</v>
      </c>
      <c r="AB56" s="30">
        <f t="shared" si="40"/>
        <v>22794459.281859376</v>
      </c>
      <c r="AC56" s="28">
        <f t="shared" ref="AC56:AN56" si="66">AC55*$B$35</f>
        <v>1903326.5815781252</v>
      </c>
      <c r="AD56" s="28">
        <f t="shared" si="66"/>
        <v>900000</v>
      </c>
      <c r="AE56" s="28">
        <f t="shared" si="66"/>
        <v>900000</v>
      </c>
      <c r="AF56" s="28">
        <f t="shared" si="66"/>
        <v>900000</v>
      </c>
      <c r="AG56" s="28">
        <f t="shared" si="66"/>
        <v>900000</v>
      </c>
      <c r="AH56" s="28">
        <f t="shared" si="66"/>
        <v>900000</v>
      </c>
      <c r="AI56" s="28">
        <f t="shared" si="66"/>
        <v>900000</v>
      </c>
      <c r="AJ56" s="28">
        <f t="shared" si="66"/>
        <v>900000</v>
      </c>
      <c r="AK56" s="28">
        <f t="shared" si="66"/>
        <v>900000</v>
      </c>
      <c r="AL56" s="28">
        <f t="shared" si="66"/>
        <v>900000</v>
      </c>
      <c r="AM56" s="28">
        <f t="shared" si="66"/>
        <v>900000</v>
      </c>
      <c r="AN56" s="28">
        <f t="shared" si="66"/>
        <v>900000</v>
      </c>
      <c r="AO56" s="28">
        <f t="shared" si="12"/>
        <v>11803326.581578124</v>
      </c>
      <c r="AP56" s="28">
        <f t="shared" si="18"/>
        <v>43068830.663437501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36"/>
    </row>
    <row r="57" spans="1:63" ht="15.75" customHeight="1" outlineLevel="1">
      <c r="A57" s="28" t="str">
        <f>A36</f>
        <v>Группа товара 9 (https://www.wildberries.ru/catalog/34146829/detail.aspx) - https://www.alibaba.com/product-detail/Ice-Silk-Thongs-For-Women-Panties_1600566805992.html?spm=a2700.picsearch.offer-list.13.74855f93M24CQI</v>
      </c>
      <c r="B57" s="29">
        <f>D57/2</f>
        <v>79.800000000000011</v>
      </c>
      <c r="C57" s="29"/>
      <c r="D57" s="42">
        <f>$D$36*$E$36</f>
        <v>159.60000000000002</v>
      </c>
      <c r="E57" s="29"/>
      <c r="F57" s="29">
        <f>$D$36*$E$36</f>
        <v>159.60000000000002</v>
      </c>
      <c r="G57" s="29"/>
      <c r="H57" s="29">
        <f>F57*1.2</f>
        <v>191.52</v>
      </c>
      <c r="I57" s="29"/>
      <c r="J57" s="29">
        <f>H57*1.2</f>
        <v>229.82400000000001</v>
      </c>
      <c r="K57" s="29"/>
      <c r="L57" s="29">
        <f>J57*1.2</f>
        <v>275.78879999999998</v>
      </c>
      <c r="M57" s="29"/>
      <c r="N57" s="29">
        <f>AVERAGE(H57:L57)</f>
        <v>232.37760000000003</v>
      </c>
      <c r="O57" s="30">
        <f t="shared" si="9"/>
        <v>1248.7104000000002</v>
      </c>
      <c r="P57" s="29">
        <f>AVERAGE(J57:N57)*1.1</f>
        <v>270.59648000000004</v>
      </c>
      <c r="Q57" s="29">
        <f>AVERAGE(L57:N57,P57)*1.1</f>
        <v>285.54638933333337</v>
      </c>
      <c r="R57" s="29">
        <f>AVERAGE(P57:Q57)</f>
        <v>278.07143466666673</v>
      </c>
      <c r="S57" s="29">
        <f t="shared" ref="S57:AA57" si="67">AVERAGE(Q57:R57)</f>
        <v>281.80891200000008</v>
      </c>
      <c r="T57" s="29">
        <f t="shared" si="67"/>
        <v>279.94017333333341</v>
      </c>
      <c r="U57" s="29">
        <f t="shared" si="67"/>
        <v>280.87454266666674</v>
      </c>
      <c r="V57" s="29">
        <f t="shared" si="67"/>
        <v>280.40735800000004</v>
      </c>
      <c r="W57" s="29">
        <f t="shared" si="67"/>
        <v>280.64095033333342</v>
      </c>
      <c r="X57" s="29">
        <f t="shared" si="67"/>
        <v>280.52415416666673</v>
      </c>
      <c r="Y57" s="29">
        <f t="shared" si="67"/>
        <v>280.58255225000005</v>
      </c>
      <c r="Z57" s="29">
        <f t="shared" si="67"/>
        <v>280.55335320833342</v>
      </c>
      <c r="AA57" s="29">
        <f t="shared" si="67"/>
        <v>280.56795272916673</v>
      </c>
      <c r="AB57" s="30">
        <f t="shared" si="40"/>
        <v>3360.114252687501</v>
      </c>
      <c r="AC57" s="29">
        <f>AA57</f>
        <v>280.56795272916673</v>
      </c>
      <c r="AD57" s="29">
        <v>100</v>
      </c>
      <c r="AE57" s="29">
        <v>100</v>
      </c>
      <c r="AF57" s="29">
        <v>100</v>
      </c>
      <c r="AG57" s="29">
        <v>100</v>
      </c>
      <c r="AH57" s="29">
        <v>100</v>
      </c>
      <c r="AI57" s="29">
        <v>100</v>
      </c>
      <c r="AJ57" s="29">
        <v>100</v>
      </c>
      <c r="AK57" s="29">
        <v>100</v>
      </c>
      <c r="AL57" s="29">
        <v>100</v>
      </c>
      <c r="AM57" s="29">
        <v>100</v>
      </c>
      <c r="AN57" s="29">
        <v>100</v>
      </c>
      <c r="AO57" s="28">
        <f t="shared" si="12"/>
        <v>1380.5679527291668</v>
      </c>
      <c r="AP57" s="28">
        <f t="shared" si="18"/>
        <v>5989.3926054166677</v>
      </c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36"/>
    </row>
    <row r="58" spans="1:63" ht="15.75" customHeight="1" outlineLevel="1">
      <c r="A58" s="28" t="s">
        <v>58</v>
      </c>
      <c r="B58" s="28">
        <f>B57*$B$36</f>
        <v>143640.00000000003</v>
      </c>
      <c r="C58" s="28">
        <v>0</v>
      </c>
      <c r="D58" s="28">
        <f>D57*$B$36</f>
        <v>287280.00000000006</v>
      </c>
      <c r="E58" s="28">
        <f t="shared" ref="E58:N58" si="68">E57*$B$36</f>
        <v>0</v>
      </c>
      <c r="F58" s="28">
        <f t="shared" si="68"/>
        <v>287280.00000000006</v>
      </c>
      <c r="G58" s="28">
        <f t="shared" si="68"/>
        <v>0</v>
      </c>
      <c r="H58" s="28">
        <f t="shared" si="68"/>
        <v>344736</v>
      </c>
      <c r="I58" s="28">
        <f t="shared" si="68"/>
        <v>0</v>
      </c>
      <c r="J58" s="28">
        <f t="shared" si="68"/>
        <v>413683.20000000001</v>
      </c>
      <c r="K58" s="28">
        <f t="shared" si="68"/>
        <v>0</v>
      </c>
      <c r="L58" s="28">
        <f t="shared" si="68"/>
        <v>496419.83999999997</v>
      </c>
      <c r="M58" s="28">
        <f t="shared" si="68"/>
        <v>0</v>
      </c>
      <c r="N58" s="28">
        <f t="shared" si="68"/>
        <v>418279.68000000005</v>
      </c>
      <c r="O58" s="30">
        <f t="shared" si="9"/>
        <v>2247678.7200000002</v>
      </c>
      <c r="P58" s="28">
        <f t="shared" ref="P58" si="69">P57*$B$36</f>
        <v>487073.66400000005</v>
      </c>
      <c r="Q58" s="28">
        <f>Q57*$B$36</f>
        <v>513983.50080000004</v>
      </c>
      <c r="R58" s="28">
        <f t="shared" ref="R58:AA58" si="70">R57*$B$36</f>
        <v>500528.58240000013</v>
      </c>
      <c r="S58" s="28">
        <f t="shared" si="70"/>
        <v>507256.04160000011</v>
      </c>
      <c r="T58" s="28">
        <f t="shared" si="70"/>
        <v>503892.31200000015</v>
      </c>
      <c r="U58" s="28">
        <f t="shared" si="70"/>
        <v>505574.17680000013</v>
      </c>
      <c r="V58" s="28">
        <f t="shared" si="70"/>
        <v>504733.24440000008</v>
      </c>
      <c r="W58" s="28">
        <f t="shared" si="70"/>
        <v>505153.71060000017</v>
      </c>
      <c r="X58" s="28">
        <f t="shared" si="70"/>
        <v>504943.4775000001</v>
      </c>
      <c r="Y58" s="28">
        <f t="shared" si="70"/>
        <v>505048.59405000007</v>
      </c>
      <c r="Z58" s="28">
        <f t="shared" si="70"/>
        <v>504996.03577500017</v>
      </c>
      <c r="AA58" s="28">
        <f t="shared" si="70"/>
        <v>505022.31491250009</v>
      </c>
      <c r="AB58" s="30">
        <f t="shared" si="40"/>
        <v>6048205.6548375022</v>
      </c>
      <c r="AC58" s="28">
        <f t="shared" ref="AC58:AN58" si="71">AC57*$B$36</f>
        <v>505022.31491250009</v>
      </c>
      <c r="AD58" s="28">
        <f t="shared" si="71"/>
        <v>180000</v>
      </c>
      <c r="AE58" s="28">
        <f t="shared" si="71"/>
        <v>180000</v>
      </c>
      <c r="AF58" s="28">
        <f t="shared" si="71"/>
        <v>180000</v>
      </c>
      <c r="AG58" s="28">
        <f t="shared" si="71"/>
        <v>180000</v>
      </c>
      <c r="AH58" s="28">
        <f t="shared" si="71"/>
        <v>180000</v>
      </c>
      <c r="AI58" s="28">
        <f t="shared" si="71"/>
        <v>180000</v>
      </c>
      <c r="AJ58" s="28">
        <f t="shared" si="71"/>
        <v>180000</v>
      </c>
      <c r="AK58" s="28">
        <f t="shared" si="71"/>
        <v>180000</v>
      </c>
      <c r="AL58" s="28">
        <f t="shared" si="71"/>
        <v>180000</v>
      </c>
      <c r="AM58" s="28">
        <f t="shared" si="71"/>
        <v>180000</v>
      </c>
      <c r="AN58" s="28">
        <f t="shared" si="71"/>
        <v>180000</v>
      </c>
      <c r="AO58" s="28">
        <f t="shared" si="12"/>
        <v>2485022.3149124999</v>
      </c>
      <c r="AP58" s="28">
        <f t="shared" si="18"/>
        <v>10780906.689750003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36"/>
    </row>
    <row r="59" spans="1:63" ht="15.75" customHeight="1" outlineLevel="1">
      <c r="A59" s="28" t="str">
        <f>A37</f>
        <v>Группа товара 10 (https://www.wildberries.ru/catalog/111931264/detail.aspx) - https://www.alibaba.com/product-detail/Hot-selling-pregnant-women-after-delivery_1600342740387.html?spm=a2700.picsearch.offer-list.13.17ab5f935QEmHm</v>
      </c>
      <c r="B59" s="29">
        <f>D59/2</f>
        <v>224.55</v>
      </c>
      <c r="C59" s="29"/>
      <c r="D59" s="42">
        <f>$D$37*E37</f>
        <v>449.1</v>
      </c>
      <c r="E59" s="29"/>
      <c r="F59" s="29">
        <f>$D$37*$E$37</f>
        <v>449.1</v>
      </c>
      <c r="G59" s="29"/>
      <c r="H59" s="29">
        <f>F59*1.2</f>
        <v>538.91999999999996</v>
      </c>
      <c r="I59" s="29"/>
      <c r="J59" s="29">
        <f>H59*1.2</f>
        <v>646.70399999999995</v>
      </c>
      <c r="K59" s="29"/>
      <c r="L59" s="29">
        <f>J59*1.2</f>
        <v>776.0447999999999</v>
      </c>
      <c r="M59" s="29"/>
      <c r="N59" s="29">
        <f>AVERAGE(H59:L59)</f>
        <v>653.88959999999986</v>
      </c>
      <c r="O59" s="30">
        <f t="shared" si="9"/>
        <v>3513.7583999999993</v>
      </c>
      <c r="P59" s="29">
        <f>AVERAGE(J59:N59)*1.1</f>
        <v>761.43407999999999</v>
      </c>
      <c r="Q59" s="29">
        <f>AVERAGE(L59:N59,P59)*1.1</f>
        <v>803.50177599999984</v>
      </c>
      <c r="R59" s="29">
        <f>AVERAGE(P59:Q59)</f>
        <v>782.46792799999992</v>
      </c>
      <c r="S59" s="29">
        <f t="shared" ref="S59:AA59" si="72">AVERAGE(Q59:R59)</f>
        <v>792.98485199999982</v>
      </c>
      <c r="T59" s="29">
        <f t="shared" si="72"/>
        <v>787.72638999999981</v>
      </c>
      <c r="U59" s="29">
        <f t="shared" si="72"/>
        <v>790.35562099999981</v>
      </c>
      <c r="V59" s="29">
        <f t="shared" si="72"/>
        <v>789.04100549999976</v>
      </c>
      <c r="W59" s="29">
        <f t="shared" si="72"/>
        <v>789.69831324999973</v>
      </c>
      <c r="X59" s="29">
        <f t="shared" si="72"/>
        <v>789.36965937499974</v>
      </c>
      <c r="Y59" s="29">
        <f t="shared" si="72"/>
        <v>789.53398631249979</v>
      </c>
      <c r="Z59" s="29">
        <f t="shared" si="72"/>
        <v>789.45182284374982</v>
      </c>
      <c r="AA59" s="29">
        <f t="shared" si="72"/>
        <v>789.49290457812481</v>
      </c>
      <c r="AB59" s="30">
        <f t="shared" si="40"/>
        <v>9455.0583388593732</v>
      </c>
      <c r="AC59" s="29">
        <f>AA59</f>
        <v>789.49290457812481</v>
      </c>
      <c r="AD59" s="29">
        <v>100</v>
      </c>
      <c r="AE59" s="29">
        <v>100</v>
      </c>
      <c r="AF59" s="29">
        <v>100</v>
      </c>
      <c r="AG59" s="29">
        <v>100</v>
      </c>
      <c r="AH59" s="29">
        <v>100</v>
      </c>
      <c r="AI59" s="29">
        <v>100</v>
      </c>
      <c r="AJ59" s="29">
        <v>100</v>
      </c>
      <c r="AK59" s="29">
        <v>100</v>
      </c>
      <c r="AL59" s="29">
        <v>100</v>
      </c>
      <c r="AM59" s="29">
        <v>100</v>
      </c>
      <c r="AN59" s="29">
        <v>100</v>
      </c>
      <c r="AO59" s="28">
        <f t="shared" si="12"/>
        <v>1889.4929045781248</v>
      </c>
      <c r="AP59" s="28">
        <f t="shared" si="18"/>
        <v>14858.309643437497</v>
      </c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36"/>
    </row>
    <row r="60" spans="1:63" ht="15.75" customHeight="1" outlineLevel="1">
      <c r="A60" s="28" t="s">
        <v>58</v>
      </c>
      <c r="B60" s="28">
        <f>B59*$B$37</f>
        <v>606285</v>
      </c>
      <c r="C60" s="28"/>
      <c r="D60" s="28">
        <f>D59*$B$37</f>
        <v>1212570</v>
      </c>
      <c r="E60" s="28">
        <f>E59*$B$37</f>
        <v>0</v>
      </c>
      <c r="F60" s="28">
        <f>F59*$B$37</f>
        <v>1212570</v>
      </c>
      <c r="G60" s="28">
        <f>G59*$B$37</f>
        <v>0</v>
      </c>
      <c r="H60" s="28">
        <f>H59*$B$37</f>
        <v>1455084</v>
      </c>
      <c r="I60" s="28">
        <f>I59*$B$37</f>
        <v>0</v>
      </c>
      <c r="J60" s="28">
        <f>J59*$B$37</f>
        <v>1746100.7999999998</v>
      </c>
      <c r="K60" s="28">
        <f>K59*$B$37</f>
        <v>0</v>
      </c>
      <c r="L60" s="28">
        <f t="shared" ref="E60:N60" si="73">L59*$B$37</f>
        <v>2095320.9599999997</v>
      </c>
      <c r="M60" s="28">
        <f t="shared" si="73"/>
        <v>0</v>
      </c>
      <c r="N60" s="28">
        <f t="shared" si="73"/>
        <v>1765501.9199999997</v>
      </c>
      <c r="O60" s="30">
        <f>SUM(C60:N60)</f>
        <v>9487147.6799999997</v>
      </c>
      <c r="P60" s="28">
        <f t="shared" ref="P60" si="74">P59*$B$37</f>
        <v>2055872.0160000001</v>
      </c>
      <c r="Q60" s="28">
        <f>Q59*$B$37</f>
        <v>2169454.7951999996</v>
      </c>
      <c r="R60" s="28">
        <f t="shared" ref="R60:AA60" si="75">R59*$B$37</f>
        <v>2112663.4055999997</v>
      </c>
      <c r="S60" s="28">
        <f t="shared" si="75"/>
        <v>2141059.1003999994</v>
      </c>
      <c r="T60" s="28">
        <f t="shared" si="75"/>
        <v>2126861.2529999996</v>
      </c>
      <c r="U60" s="28">
        <f t="shared" si="75"/>
        <v>2133960.1766999997</v>
      </c>
      <c r="V60" s="28">
        <f t="shared" si="75"/>
        <v>2130410.7148499992</v>
      </c>
      <c r="W60" s="28">
        <f t="shared" si="75"/>
        <v>2132185.4457749994</v>
      </c>
      <c r="X60" s="28">
        <f t="shared" si="75"/>
        <v>2131298.0803124993</v>
      </c>
      <c r="Y60" s="28">
        <f t="shared" si="75"/>
        <v>2131741.7630437496</v>
      </c>
      <c r="Z60" s="28">
        <f t="shared" si="75"/>
        <v>2131519.9216781245</v>
      </c>
      <c r="AA60" s="28">
        <f t="shared" si="75"/>
        <v>2131630.842360937</v>
      </c>
      <c r="AB60" s="30">
        <f t="shared" si="40"/>
        <v>25528657.514920305</v>
      </c>
      <c r="AC60" s="28">
        <f t="shared" ref="AC60:AN60" si="76">AC59*$B$37</f>
        <v>2131630.842360937</v>
      </c>
      <c r="AD60" s="28">
        <f t="shared" si="76"/>
        <v>270000</v>
      </c>
      <c r="AE60" s="28">
        <f t="shared" si="76"/>
        <v>270000</v>
      </c>
      <c r="AF60" s="28">
        <f t="shared" si="76"/>
        <v>270000</v>
      </c>
      <c r="AG60" s="28">
        <f t="shared" si="76"/>
        <v>270000</v>
      </c>
      <c r="AH60" s="28">
        <f t="shared" si="76"/>
        <v>270000</v>
      </c>
      <c r="AI60" s="28">
        <f t="shared" si="76"/>
        <v>270000</v>
      </c>
      <c r="AJ60" s="28">
        <f t="shared" si="76"/>
        <v>270000</v>
      </c>
      <c r="AK60" s="28">
        <f t="shared" si="76"/>
        <v>270000</v>
      </c>
      <c r="AL60" s="28">
        <f t="shared" si="76"/>
        <v>270000</v>
      </c>
      <c r="AM60" s="28">
        <f t="shared" si="76"/>
        <v>270000</v>
      </c>
      <c r="AN60" s="28">
        <f t="shared" si="76"/>
        <v>270000</v>
      </c>
      <c r="AO60" s="28">
        <f t="shared" si="12"/>
        <v>5101630.842360937</v>
      </c>
      <c r="AP60" s="28">
        <f t="shared" si="18"/>
        <v>40117436.037281245</v>
      </c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36"/>
    </row>
    <row r="61" spans="1:63" ht="15.75" customHeight="1" outlineLevel="1">
      <c r="A61" s="28" t="s">
        <v>59</v>
      </c>
      <c r="B61" s="28">
        <v>0</v>
      </c>
      <c r="C61" s="28">
        <f>(C65+C67+C69+C71+C73+C75+C77+C79+C81+C83)*(100%-$H$7)</f>
        <v>700.45</v>
      </c>
      <c r="D61" s="28">
        <f>(D65+D67+D69+D71+D73+D75+D77+D79+D81+D83)*(100%-$H$7)</f>
        <v>700.45</v>
      </c>
      <c r="E61" s="28">
        <f>(E65+E67+E69+E71+E73+E75+E77+E79+E81+E83)*(100%-$H$7)</f>
        <v>700.45</v>
      </c>
      <c r="F61" s="28">
        <f>(F65+F67+F69+F71+F73+F75+F77+F79+F81+F83)*(100%-$H$7)</f>
        <v>700.45</v>
      </c>
      <c r="G61" s="28">
        <f>(G65+G67+G69+G71+G73+G75+G77+G79+G81+G83)*(100%-$H$7)</f>
        <v>700.45</v>
      </c>
      <c r="H61" s="28">
        <f>(H65+H67+H69+H71+H73+H75+H77+H79+H81+H83)*(100%-$H$7)</f>
        <v>840.54</v>
      </c>
      <c r="I61" s="28">
        <f>(I65+I67+I69+I71+I73+I75+I77+I79+I81+I83)*(100%-$H$7)</f>
        <v>840.54</v>
      </c>
      <c r="J61" s="28">
        <f t="shared" ref="E61:N61" si="77">(J65+J67+J69+J71+J73+J75+J77+J79+J81+J83)*(100%-$H$7)</f>
        <v>1008.648</v>
      </c>
      <c r="K61" s="28">
        <f t="shared" si="77"/>
        <v>1008.648</v>
      </c>
      <c r="L61" s="28">
        <f t="shared" si="77"/>
        <v>1059.0803999999998</v>
      </c>
      <c r="M61" s="28">
        <f t="shared" si="77"/>
        <v>1112.03442</v>
      </c>
      <c r="N61" s="28">
        <f t="shared" si="77"/>
        <v>1167.6361410000002</v>
      </c>
      <c r="O61" s="30">
        <f t="shared" si="9"/>
        <v>10539.376961</v>
      </c>
      <c r="P61" s="28">
        <f>(P65+P67+P69)*(100%-$H$7)</f>
        <v>535.49619199999995</v>
      </c>
      <c r="Q61" s="28">
        <f t="shared" ref="Q61:AO61" si="78">Q65+Q67</f>
        <v>458.49487786666668</v>
      </c>
      <c r="R61" s="28">
        <f t="shared" si="78"/>
        <v>504.34436565333345</v>
      </c>
      <c r="S61" s="28">
        <f t="shared" si="78"/>
        <v>554.7788022186669</v>
      </c>
      <c r="T61" s="28">
        <f t="shared" si="78"/>
        <v>610.25668244053361</v>
      </c>
      <c r="U61" s="28">
        <f t="shared" si="78"/>
        <v>671.28235068458696</v>
      </c>
      <c r="V61" s="28">
        <f t="shared" si="78"/>
        <v>738.41058575304578</v>
      </c>
      <c r="W61" s="28">
        <f t="shared" si="78"/>
        <v>812.25164432835027</v>
      </c>
      <c r="X61" s="28">
        <f t="shared" si="78"/>
        <v>893.47680876118534</v>
      </c>
      <c r="Y61" s="28">
        <f t="shared" si="78"/>
        <v>982.82448963730394</v>
      </c>
      <c r="Z61" s="28">
        <f t="shared" si="78"/>
        <v>1081.1069386010345</v>
      </c>
      <c r="AA61" s="28">
        <f t="shared" si="78"/>
        <v>1189.217632461138</v>
      </c>
      <c r="AB61" s="28">
        <f t="shared" si="78"/>
        <v>8913.2587037391786</v>
      </c>
      <c r="AC61" s="28">
        <f t="shared" si="78"/>
        <v>679.1259321</v>
      </c>
      <c r="AD61" s="28">
        <f t="shared" si="78"/>
        <v>608.68864053194454</v>
      </c>
      <c r="AE61" s="28">
        <f t="shared" si="78"/>
        <v>573.4780263138889</v>
      </c>
      <c r="AF61" s="28">
        <f t="shared" si="78"/>
        <v>550</v>
      </c>
      <c r="AG61" s="28">
        <f t="shared" si="78"/>
        <v>550</v>
      </c>
      <c r="AH61" s="28">
        <f t="shared" si="78"/>
        <v>550</v>
      </c>
      <c r="AI61" s="28">
        <f t="shared" si="78"/>
        <v>550</v>
      </c>
      <c r="AJ61" s="28">
        <f t="shared" si="78"/>
        <v>550</v>
      </c>
      <c r="AK61" s="28">
        <f t="shared" si="78"/>
        <v>550</v>
      </c>
      <c r="AL61" s="28">
        <f t="shared" si="78"/>
        <v>550</v>
      </c>
      <c r="AM61" s="28">
        <f t="shared" si="78"/>
        <v>550</v>
      </c>
      <c r="AN61" s="28">
        <f t="shared" si="78"/>
        <v>550</v>
      </c>
      <c r="AO61" s="28">
        <f t="shared" si="78"/>
        <v>6811.2925989458336</v>
      </c>
      <c r="AP61" s="28">
        <f>AP65+AP67</f>
        <v>18366.730750685012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36"/>
    </row>
    <row r="62" spans="1:63" ht="15.75" customHeight="1" outlineLevel="1">
      <c r="A62" s="28" t="s">
        <v>60</v>
      </c>
      <c r="B62" s="28">
        <f>B41+B43+B45+B47+B49+B51+B53+B55+B57+B59-B61</f>
        <v>700.45</v>
      </c>
      <c r="C62" s="28">
        <f>B62+C41+C43+C45+C47+C49+C51+C53+C55+C57+C59-C61</f>
        <v>0</v>
      </c>
      <c r="D62" s="28">
        <f>C62+D41+D43+D45+D47+D49+D51+D53+D55+D57+D59-D61</f>
        <v>700.45</v>
      </c>
      <c r="E62" s="28">
        <f t="shared" ref="C62:N62" si="79">D62+E41+E43+E45+E47+E49+E51+E53+E55+E57+E59-E61</f>
        <v>0</v>
      </c>
      <c r="F62" s="28">
        <f>E62+F41+F43+F45+F47+F49+F51+F53+F55+F57+F59-F61</f>
        <v>700.45</v>
      </c>
      <c r="G62" s="28">
        <f>F62+G41+G43+G45+G47+G49+G51+G53+G55+G57+G59-G61</f>
        <v>0</v>
      </c>
      <c r="H62" s="28">
        <f t="shared" si="79"/>
        <v>840.54</v>
      </c>
      <c r="I62" s="28">
        <f t="shared" si="79"/>
        <v>0</v>
      </c>
      <c r="J62" s="28">
        <f t="shared" si="79"/>
        <v>1008.648</v>
      </c>
      <c r="K62" s="28">
        <f t="shared" si="79"/>
        <v>0</v>
      </c>
      <c r="L62" s="28">
        <f t="shared" si="79"/>
        <v>1361.6747999999998</v>
      </c>
      <c r="M62" s="28">
        <f t="shared" si="79"/>
        <v>249.64037999999982</v>
      </c>
      <c r="N62" s="28">
        <f t="shared" si="79"/>
        <v>1121.7146389999996</v>
      </c>
      <c r="O62" s="30"/>
      <c r="P62" s="28">
        <f>N62+P41+P43+P45-P61</f>
        <v>1351.2130069999994</v>
      </c>
      <c r="Q62" s="28">
        <f>P62+Q41+Q43+Q45-Q61</f>
        <v>1699.9770944666661</v>
      </c>
      <c r="R62" s="28">
        <f t="shared" ref="R62:AA62" si="80">Q62+R41+R43+R45-R61</f>
        <v>1981.7594914799995</v>
      </c>
      <c r="S62" s="28">
        <f t="shared" si="80"/>
        <v>2223.6735532613329</v>
      </c>
      <c r="T62" s="28">
        <f t="shared" si="80"/>
        <v>2404.8266841541331</v>
      </c>
      <c r="U62" s="28">
        <f t="shared" si="80"/>
        <v>2527.5956721362131</v>
      </c>
      <c r="V62" s="28">
        <f t="shared" si="80"/>
        <v>2581.9156623831673</v>
      </c>
      <c r="W62" s="28">
        <f t="shared" si="80"/>
        <v>2563.0549753881505</v>
      </c>
      <c r="X62" s="28">
        <f t="shared" si="80"/>
        <v>2462.6389332936315</v>
      </c>
      <c r="Y62" s="28">
        <f t="shared" si="80"/>
        <v>2273.0403056563268</v>
      </c>
      <c r="Z62" s="28">
        <f t="shared" si="80"/>
        <v>1985.0766813886253</v>
      </c>
      <c r="AA62" s="28">
        <f t="shared" si="80"/>
        <v>1589.0436370941536</v>
      </c>
      <c r="AB62" s="28"/>
      <c r="AC62" s="28">
        <f>AA62+AC41+AC43+AC45-AC61</f>
        <v>1659.9177049941534</v>
      </c>
      <c r="AD62" s="28">
        <f t="shared" ref="AD62:AN62" si="81">AC62+AD41+AD43+AD45-AD61</f>
        <v>1801.229064462209</v>
      </c>
      <c r="AE62" s="28">
        <f t="shared" si="81"/>
        <v>1977.75103814832</v>
      </c>
      <c r="AF62" s="28">
        <f t="shared" si="81"/>
        <v>2177.7510381483198</v>
      </c>
      <c r="AG62" s="28">
        <f t="shared" si="81"/>
        <v>2377.7510381483198</v>
      </c>
      <c r="AH62" s="28">
        <f t="shared" si="81"/>
        <v>2577.7510381483198</v>
      </c>
      <c r="AI62" s="28">
        <f t="shared" si="81"/>
        <v>2777.7510381483198</v>
      </c>
      <c r="AJ62" s="28">
        <f t="shared" si="81"/>
        <v>2977.7510381483198</v>
      </c>
      <c r="AK62" s="28">
        <f t="shared" si="81"/>
        <v>3177.7510381483198</v>
      </c>
      <c r="AL62" s="28">
        <f t="shared" si="81"/>
        <v>3377.7510381483198</v>
      </c>
      <c r="AM62" s="28">
        <f t="shared" si="81"/>
        <v>3577.7510381483198</v>
      </c>
      <c r="AN62" s="28">
        <f t="shared" si="81"/>
        <v>3777.7510381483198</v>
      </c>
      <c r="AO62" s="28">
        <f t="shared" ref="AO62" si="82">AN62+AO41+AO43-AO61</f>
        <v>2966.4584392024854</v>
      </c>
      <c r="AP62" s="28">
        <f>AO62+AP41+AP43-AP61</f>
        <v>741.45211222580474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36"/>
    </row>
    <row r="63" spans="1:63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O63" s="3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30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3" ht="22.8">
      <c r="A64" s="43" t="s">
        <v>61</v>
      </c>
      <c r="B64" s="38">
        <f>B70+B87+B89</f>
        <v>0</v>
      </c>
      <c r="C64" s="38">
        <f>C66+C68+C70+C72+C74+C76+C78+C80+C82+C84</f>
        <v>5297487</v>
      </c>
      <c r="D64" s="38">
        <f>D66+D68+D70+D72+D74+D76+D78+D80+D82+D84</f>
        <v>5297487</v>
      </c>
      <c r="E64" s="38">
        <f>E66+E68+E70+E72+E74+E76+E78+E80+E82+E84</f>
        <v>5297487</v>
      </c>
      <c r="F64" s="38">
        <f>F66+F68+F70+F72+F74+F76+F78+F80+F82+F84</f>
        <v>5297487</v>
      </c>
      <c r="G64" s="38">
        <f>G66+G68+G70+G72+G74+G76+G78+G80+G82+G84</f>
        <v>5297487</v>
      </c>
      <c r="H64" s="38">
        <f>H66+H68+H70+H72+H74+H76+H78+H80+H82+H84</f>
        <v>6356984.4000000004</v>
      </c>
      <c r="I64" s="38">
        <f t="shared" ref="D64:M64" si="83">I66+I68+I70+I72+I74+I76+I78+I80+I82+I84</f>
        <v>6356984.4000000004</v>
      </c>
      <c r="J64" s="38">
        <f t="shared" si="83"/>
        <v>7628381.2799999993</v>
      </c>
      <c r="K64" s="38">
        <f t="shared" si="83"/>
        <v>7628381.2799999993</v>
      </c>
      <c r="L64" s="38">
        <f t="shared" si="83"/>
        <v>8009800.3439999996</v>
      </c>
      <c r="M64" s="38">
        <f t="shared" si="83"/>
        <v>8410290.3612000011</v>
      </c>
      <c r="N64" s="38">
        <f>N66+N68+N70+N72+N74+N76+N78+N80+N82+N84</f>
        <v>8830804.8792600017</v>
      </c>
      <c r="O64" s="38">
        <f>O66+O68+O70+O72+O74+O76+O78+O80+O82+O84</f>
        <v>79709061.944460005</v>
      </c>
      <c r="P64" s="44">
        <f t="shared" ref="P64:AN64" si="84">P66+P68+P70</f>
        <v>2139706.0608000001</v>
      </c>
      <c r="Q64" s="44">
        <f t="shared" si="84"/>
        <v>2353676.6668800004</v>
      </c>
      <c r="R64" s="44">
        <f t="shared" si="84"/>
        <v>2589044.3335680007</v>
      </c>
      <c r="S64" s="44">
        <f t="shared" si="84"/>
        <v>2847948.7669248008</v>
      </c>
      <c r="T64" s="44">
        <f t="shared" si="84"/>
        <v>3132743.6436172812</v>
      </c>
      <c r="U64" s="44">
        <f t="shared" si="84"/>
        <v>3446018.0079790098</v>
      </c>
      <c r="V64" s="44">
        <f t="shared" si="84"/>
        <v>3790619.8087769109</v>
      </c>
      <c r="W64" s="44">
        <f t="shared" si="84"/>
        <v>4169681.7896546023</v>
      </c>
      <c r="X64" s="44">
        <f t="shared" si="84"/>
        <v>4586649.9686200628</v>
      </c>
      <c r="Y64" s="44">
        <f t="shared" si="84"/>
        <v>5045314.9654820692</v>
      </c>
      <c r="Z64" s="44">
        <f t="shared" si="84"/>
        <v>5549846.4620302776</v>
      </c>
      <c r="AA64" s="44">
        <f t="shared" si="84"/>
        <v>6104831.1082333047</v>
      </c>
      <c r="AB64" s="44">
        <f t="shared" si="84"/>
        <v>45756081.582566321</v>
      </c>
      <c r="AC64" s="44">
        <f t="shared" si="84"/>
        <v>3486282.9170400002</v>
      </c>
      <c r="AD64" s="44">
        <f t="shared" si="84"/>
        <v>3744648.5656099999</v>
      </c>
      <c r="AE64" s="44">
        <f t="shared" si="84"/>
        <v>3873872.6198200006</v>
      </c>
      <c r="AF64" s="44">
        <f t="shared" si="84"/>
        <v>3960000</v>
      </c>
      <c r="AG64" s="44">
        <f t="shared" si="84"/>
        <v>3960000</v>
      </c>
      <c r="AH64" s="44">
        <f t="shared" si="84"/>
        <v>3960000</v>
      </c>
      <c r="AI64" s="44">
        <f t="shared" si="84"/>
        <v>3960000</v>
      </c>
      <c r="AJ64" s="44">
        <f t="shared" si="84"/>
        <v>3960000</v>
      </c>
      <c r="AK64" s="44">
        <f t="shared" si="84"/>
        <v>3960000</v>
      </c>
      <c r="AL64" s="44">
        <f t="shared" si="84"/>
        <v>3960000</v>
      </c>
      <c r="AM64" s="44">
        <f t="shared" si="84"/>
        <v>3960000</v>
      </c>
      <c r="AN64" s="44">
        <f t="shared" si="84"/>
        <v>3960000</v>
      </c>
      <c r="AO64" s="44">
        <f>SUM(AC64:AN64)</f>
        <v>46744804.102470003</v>
      </c>
      <c r="AP64" s="44">
        <f>B64+AO64+AB64+O64</f>
        <v>172209947.62949634</v>
      </c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1:62" ht="15.75" customHeight="1" outlineLevel="1">
      <c r="A65" s="28" t="str">
        <f>A41</f>
        <v>Группа товара 1 (https://www.wildberries.ru/catalog/0/search.aspx?search=нижнее%20белье) - https://www.alibaba.com/picture/search.htm?imageType=oss&amp;escapeQp=true&amp;imageAddress=/icbuimgsearch/jtYkNhkTjd1687100015093.jpg&amp;sourceFrom=imageupload&amp;uploadType=uploadBtn</v>
      </c>
      <c r="B65" s="28">
        <f>B98/$B$28</f>
        <v>0</v>
      </c>
      <c r="C65" s="28">
        <f>B41</f>
        <v>125.60000000000001</v>
      </c>
      <c r="D65" s="28">
        <f>D41*0.5</f>
        <v>125.60000000000001</v>
      </c>
      <c r="E65" s="28">
        <f>D65</f>
        <v>125.60000000000001</v>
      </c>
      <c r="F65" s="28">
        <f>F41*0.5</f>
        <v>125.60000000000001</v>
      </c>
      <c r="G65" s="28">
        <f>F65</f>
        <v>125.60000000000001</v>
      </c>
      <c r="H65" s="28">
        <f>H41*0.5</f>
        <v>150.72</v>
      </c>
      <c r="I65" s="28">
        <f>H65</f>
        <v>150.72</v>
      </c>
      <c r="J65" s="28">
        <f>J41*0.5</f>
        <v>180.864</v>
      </c>
      <c r="K65" s="28">
        <f>J65</f>
        <v>180.864</v>
      </c>
      <c r="L65" s="28">
        <f t="shared" ref="L65:N83" si="85">K65*1.05</f>
        <v>189.90720000000002</v>
      </c>
      <c r="M65" s="28">
        <f t="shared" si="85"/>
        <v>199.40256000000002</v>
      </c>
      <c r="N65" s="28">
        <f t="shared" si="85"/>
        <v>209.37268800000004</v>
      </c>
      <c r="O65" s="30">
        <f t="shared" ref="O65:O84" si="86">SUM(B65:N65)</f>
        <v>1889.8504480000001</v>
      </c>
      <c r="P65" s="46">
        <f>P41*0.7</f>
        <v>298.13085866666665</v>
      </c>
      <c r="Q65" s="28">
        <f>P65*1.1</f>
        <v>327.94394453333337</v>
      </c>
      <c r="R65" s="28">
        <f>Q65*1.1</f>
        <v>360.73833898666675</v>
      </c>
      <c r="S65" s="28">
        <f>R65*1.1</f>
        <v>396.81217288533344</v>
      </c>
      <c r="T65" s="28">
        <f>S65*1.1</f>
        <v>436.49339017386683</v>
      </c>
      <c r="U65" s="28">
        <f>T65*1.1</f>
        <v>480.14272919125352</v>
      </c>
      <c r="V65" s="28">
        <f>U65*1.1</f>
        <v>528.15700211037893</v>
      </c>
      <c r="W65" s="28">
        <f t="shared" ref="R65:AA83" si="87">V65*1.1</f>
        <v>580.97270232141682</v>
      </c>
      <c r="X65" s="28">
        <f t="shared" si="87"/>
        <v>639.0699725535585</v>
      </c>
      <c r="Y65" s="28">
        <f t="shared" si="87"/>
        <v>702.97696980891442</v>
      </c>
      <c r="Z65" s="28">
        <f t="shared" si="87"/>
        <v>773.27466678980591</v>
      </c>
      <c r="AA65" s="28">
        <f t="shared" si="87"/>
        <v>850.60213346878652</v>
      </c>
      <c r="AB65" s="28">
        <f>SUM(P65:AA65)</f>
        <v>6375.3148814899814</v>
      </c>
      <c r="AC65" s="28">
        <f t="shared" ref="Q65:AN65" si="88">AC98/$B$28</f>
        <v>485.75294460000003</v>
      </c>
      <c r="AD65" s="28">
        <f t="shared" si="88"/>
        <v>370.79324174722228</v>
      </c>
      <c r="AE65" s="28">
        <f t="shared" si="88"/>
        <v>313.31913499444448</v>
      </c>
      <c r="AF65" s="28">
        <f t="shared" si="88"/>
        <v>275</v>
      </c>
      <c r="AG65" s="28">
        <f t="shared" si="88"/>
        <v>275</v>
      </c>
      <c r="AH65" s="28">
        <f t="shared" si="88"/>
        <v>275</v>
      </c>
      <c r="AI65" s="28">
        <f t="shared" si="88"/>
        <v>275</v>
      </c>
      <c r="AJ65" s="28">
        <f t="shared" si="88"/>
        <v>275</v>
      </c>
      <c r="AK65" s="28">
        <f t="shared" si="88"/>
        <v>275</v>
      </c>
      <c r="AL65" s="28">
        <f t="shared" si="88"/>
        <v>275</v>
      </c>
      <c r="AM65" s="28">
        <f t="shared" si="88"/>
        <v>275</v>
      </c>
      <c r="AN65" s="28">
        <f t="shared" si="88"/>
        <v>275</v>
      </c>
      <c r="AO65" s="30">
        <f t="shared" ref="AO65:AO84" si="89">SUM(AC65:AN65)</f>
        <v>3644.8653213416669</v>
      </c>
      <c r="AP65" s="28">
        <f>O65+AB65+AO65</f>
        <v>11910.030650831648</v>
      </c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.75" customHeight="1" outlineLevel="1">
      <c r="A66" s="28" t="s">
        <v>58</v>
      </c>
      <c r="B66" s="30">
        <f t="shared" ref="B66:N66" si="90">B65*$C$28</f>
        <v>0</v>
      </c>
      <c r="C66" s="30">
        <f>C65*$C$28</f>
        <v>301440</v>
      </c>
      <c r="D66" s="30">
        <f t="shared" si="90"/>
        <v>301440</v>
      </c>
      <c r="E66" s="30">
        <f t="shared" si="90"/>
        <v>301440</v>
      </c>
      <c r="F66" s="47">
        <f t="shared" si="90"/>
        <v>301440</v>
      </c>
      <c r="G66" s="47">
        <f t="shared" si="90"/>
        <v>301440</v>
      </c>
      <c r="H66" s="47">
        <f t="shared" si="90"/>
        <v>361728</v>
      </c>
      <c r="I66" s="47">
        <f t="shared" si="90"/>
        <v>361728</v>
      </c>
      <c r="J66" s="30">
        <f t="shared" si="90"/>
        <v>434073.60000000003</v>
      </c>
      <c r="K66" s="30">
        <f t="shared" si="90"/>
        <v>434073.60000000003</v>
      </c>
      <c r="L66" s="30">
        <f>L65*$C$28</f>
        <v>455777.28000000003</v>
      </c>
      <c r="M66" s="30">
        <f t="shared" si="90"/>
        <v>478566.14400000003</v>
      </c>
      <c r="N66" s="30">
        <f t="shared" si="90"/>
        <v>502494.45120000007</v>
      </c>
      <c r="O66" s="30">
        <f t="shared" si="86"/>
        <v>4535641.0752000008</v>
      </c>
      <c r="P66" s="30">
        <f t="shared" ref="P66:AN66" si="91">P65*$C$28</f>
        <v>715514.06079999998</v>
      </c>
      <c r="Q66" s="30">
        <f t="shared" si="91"/>
        <v>787065.46688000008</v>
      </c>
      <c r="R66" s="30">
        <f t="shared" si="91"/>
        <v>865772.01356800017</v>
      </c>
      <c r="S66" s="30">
        <f t="shared" si="91"/>
        <v>952349.21492480021</v>
      </c>
      <c r="T66" s="30">
        <f t="shared" si="91"/>
        <v>1047584.1364172804</v>
      </c>
      <c r="U66" s="30">
        <f t="shared" si="91"/>
        <v>1152342.5500590084</v>
      </c>
      <c r="V66" s="30">
        <f t="shared" si="91"/>
        <v>1267576.8050649094</v>
      </c>
      <c r="W66" s="30">
        <f t="shared" si="91"/>
        <v>1394334.4855714003</v>
      </c>
      <c r="X66" s="30">
        <f t="shared" si="91"/>
        <v>1533767.9341285403</v>
      </c>
      <c r="Y66" s="30">
        <f t="shared" si="91"/>
        <v>1687144.7275413945</v>
      </c>
      <c r="Z66" s="30">
        <f t="shared" si="91"/>
        <v>1855859.2002955342</v>
      </c>
      <c r="AA66" s="30">
        <f t="shared" si="91"/>
        <v>2041445.1203250876</v>
      </c>
      <c r="AB66" s="28">
        <f t="shared" ref="AB66:AB84" si="92">SUM(P66:AA66)</f>
        <v>15300755.715575956</v>
      </c>
      <c r="AC66" s="30">
        <f t="shared" si="91"/>
        <v>1165807.0670400001</v>
      </c>
      <c r="AD66" s="30">
        <f t="shared" si="91"/>
        <v>889903.78019333351</v>
      </c>
      <c r="AE66" s="30">
        <f t="shared" si="91"/>
        <v>751965.92398666672</v>
      </c>
      <c r="AF66" s="30">
        <f t="shared" si="91"/>
        <v>660000</v>
      </c>
      <c r="AG66" s="30">
        <f t="shared" si="91"/>
        <v>660000</v>
      </c>
      <c r="AH66" s="30">
        <f t="shared" si="91"/>
        <v>660000</v>
      </c>
      <c r="AI66" s="30">
        <f t="shared" si="91"/>
        <v>660000</v>
      </c>
      <c r="AJ66" s="30">
        <f t="shared" si="91"/>
        <v>660000</v>
      </c>
      <c r="AK66" s="30">
        <f t="shared" si="91"/>
        <v>660000</v>
      </c>
      <c r="AL66" s="30">
        <f t="shared" si="91"/>
        <v>660000</v>
      </c>
      <c r="AM66" s="30">
        <f t="shared" si="91"/>
        <v>660000</v>
      </c>
      <c r="AN66" s="30">
        <f t="shared" si="91"/>
        <v>660000</v>
      </c>
      <c r="AO66" s="30">
        <f t="shared" si="89"/>
        <v>8747676.7712200005</v>
      </c>
      <c r="AP66" s="28">
        <f t="shared" ref="AP66:AP84" si="93">O66+AB66+AO66</f>
        <v>28584073.561995953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</row>
    <row r="67" spans="1:62" ht="15.75" customHeight="1" outlineLevel="1">
      <c r="A67" s="48" t="str">
        <f>A43</f>
        <v>Группа товара 2 (https://www.wildberries.ru/catalog/143555214/detail.aspx) - https://www.alibaba.com/picture/search.htm?imageType=oss&amp;escapeQp=true&amp;imageAddress=/icbuimgsearch/HCPSpZZGGc1687114619103.jpg&amp;sourceFrom=imageupload&amp;uploadType=uploadBtn</v>
      </c>
      <c r="B67" s="28">
        <f>B99/$B$29</f>
        <v>0</v>
      </c>
      <c r="C67" s="28">
        <f>B43</f>
        <v>50</v>
      </c>
      <c r="D67" s="28">
        <f>D43*0.5</f>
        <v>50</v>
      </c>
      <c r="E67" s="28">
        <f>D67</f>
        <v>50</v>
      </c>
      <c r="F67" s="28">
        <f>F43*0.5</f>
        <v>50</v>
      </c>
      <c r="G67" s="28">
        <f>F67</f>
        <v>50</v>
      </c>
      <c r="H67" s="28">
        <f>H43*0.5</f>
        <v>60</v>
      </c>
      <c r="I67" s="28">
        <f>H67</f>
        <v>60</v>
      </c>
      <c r="J67" s="28">
        <f>J43*0.5</f>
        <v>72</v>
      </c>
      <c r="K67" s="28">
        <f>J67</f>
        <v>72</v>
      </c>
      <c r="L67" s="28">
        <f t="shared" si="85"/>
        <v>75.600000000000009</v>
      </c>
      <c r="M67" s="28">
        <f t="shared" si="85"/>
        <v>79.38000000000001</v>
      </c>
      <c r="N67" s="28">
        <f t="shared" si="85"/>
        <v>83.349000000000018</v>
      </c>
      <c r="O67" s="30">
        <f t="shared" si="86"/>
        <v>752.32900000000006</v>
      </c>
      <c r="P67" s="46">
        <f>P43*0.7</f>
        <v>118.68266666666666</v>
      </c>
      <c r="Q67" s="28">
        <f>P67*1.1</f>
        <v>130.55093333333335</v>
      </c>
      <c r="R67" s="28">
        <f t="shared" si="87"/>
        <v>143.60602666666671</v>
      </c>
      <c r="S67" s="28">
        <f t="shared" si="87"/>
        <v>157.9666293333334</v>
      </c>
      <c r="T67" s="28">
        <f t="shared" si="87"/>
        <v>173.76329226666675</v>
      </c>
      <c r="U67" s="28">
        <f t="shared" si="87"/>
        <v>191.13962149333344</v>
      </c>
      <c r="V67" s="28">
        <f t="shared" si="87"/>
        <v>210.2535836426668</v>
      </c>
      <c r="W67" s="28">
        <f t="shared" si="87"/>
        <v>231.27894200693351</v>
      </c>
      <c r="X67" s="28">
        <f t="shared" si="87"/>
        <v>254.40683620762687</v>
      </c>
      <c r="Y67" s="28">
        <f t="shared" si="87"/>
        <v>279.84751982838958</v>
      </c>
      <c r="Z67" s="28">
        <f t="shared" si="87"/>
        <v>307.83227181122857</v>
      </c>
      <c r="AA67" s="28">
        <f t="shared" si="87"/>
        <v>338.61549899235143</v>
      </c>
      <c r="AB67" s="28">
        <f t="shared" si="92"/>
        <v>2537.9438222491972</v>
      </c>
      <c r="AC67" s="28">
        <f t="shared" ref="P67:AN67" si="94">AC99/$B$29</f>
        <v>193.37298749999999</v>
      </c>
      <c r="AD67" s="28">
        <f t="shared" si="94"/>
        <v>237.89539878472223</v>
      </c>
      <c r="AE67" s="28">
        <f t="shared" si="94"/>
        <v>260.15889131944448</v>
      </c>
      <c r="AF67" s="28">
        <f t="shared" si="94"/>
        <v>275</v>
      </c>
      <c r="AG67" s="28">
        <f t="shared" si="94"/>
        <v>275</v>
      </c>
      <c r="AH67" s="28">
        <f t="shared" si="94"/>
        <v>275</v>
      </c>
      <c r="AI67" s="28">
        <f t="shared" si="94"/>
        <v>275</v>
      </c>
      <c r="AJ67" s="28">
        <f t="shared" si="94"/>
        <v>275</v>
      </c>
      <c r="AK67" s="28">
        <f t="shared" si="94"/>
        <v>275</v>
      </c>
      <c r="AL67" s="28">
        <f t="shared" si="94"/>
        <v>275</v>
      </c>
      <c r="AM67" s="28">
        <f t="shared" si="94"/>
        <v>275</v>
      </c>
      <c r="AN67" s="28">
        <f t="shared" si="94"/>
        <v>275</v>
      </c>
      <c r="AO67" s="30">
        <f t="shared" si="89"/>
        <v>3166.4272776041666</v>
      </c>
      <c r="AP67" s="28">
        <f t="shared" si="93"/>
        <v>6456.700099853364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.75" customHeight="1" outlineLevel="1">
      <c r="A68" s="30" t="s">
        <v>58</v>
      </c>
      <c r="B68" s="30">
        <f t="shared" ref="B68:N68" si="95">B67*$C$29</f>
        <v>0</v>
      </c>
      <c r="C68" s="30">
        <f>C67*$C$29</f>
        <v>330000</v>
      </c>
      <c r="D68" s="30">
        <f t="shared" si="95"/>
        <v>330000</v>
      </c>
      <c r="E68" s="30">
        <f t="shared" si="95"/>
        <v>330000</v>
      </c>
      <c r="F68" s="47">
        <f t="shared" si="95"/>
        <v>330000</v>
      </c>
      <c r="G68" s="47">
        <f t="shared" si="95"/>
        <v>330000</v>
      </c>
      <c r="H68" s="47">
        <f t="shared" si="95"/>
        <v>396000</v>
      </c>
      <c r="I68" s="47">
        <f t="shared" si="95"/>
        <v>396000</v>
      </c>
      <c r="J68" s="30">
        <f t="shared" si="95"/>
        <v>475200</v>
      </c>
      <c r="K68" s="30">
        <f t="shared" si="95"/>
        <v>475200</v>
      </c>
      <c r="L68" s="30">
        <f>L67*$C$29</f>
        <v>498960.00000000006</v>
      </c>
      <c r="M68" s="30">
        <f t="shared" si="95"/>
        <v>523908.00000000006</v>
      </c>
      <c r="N68" s="30">
        <f t="shared" si="95"/>
        <v>550103.40000000014</v>
      </c>
      <c r="O68" s="30">
        <f t="shared" si="86"/>
        <v>4965371.4000000004</v>
      </c>
      <c r="P68" s="30">
        <f t="shared" ref="P68:AN68" si="96">P67*$C$29</f>
        <v>783305.6</v>
      </c>
      <c r="Q68" s="30">
        <f t="shared" si="96"/>
        <v>861636.16000000015</v>
      </c>
      <c r="R68" s="30">
        <f t="shared" si="96"/>
        <v>947799.7760000003</v>
      </c>
      <c r="S68" s="30">
        <f t="shared" si="96"/>
        <v>1042579.7536000004</v>
      </c>
      <c r="T68" s="30">
        <f t="shared" si="96"/>
        <v>1146837.7289600007</v>
      </c>
      <c r="U68" s="30">
        <f t="shared" si="96"/>
        <v>1261521.5018560006</v>
      </c>
      <c r="V68" s="30">
        <f>V67*$C$29</f>
        <v>1387673.6520416008</v>
      </c>
      <c r="W68" s="30">
        <f t="shared" si="96"/>
        <v>1526441.0172457611</v>
      </c>
      <c r="X68" s="30">
        <f t="shared" si="96"/>
        <v>1679085.1189703373</v>
      </c>
      <c r="Y68" s="30">
        <f t="shared" si="96"/>
        <v>1846993.6308673713</v>
      </c>
      <c r="Z68" s="30">
        <f t="shared" si="96"/>
        <v>2031692.9939541086</v>
      </c>
      <c r="AA68" s="30">
        <f t="shared" si="96"/>
        <v>2234862.2933495194</v>
      </c>
      <c r="AB68" s="28">
        <f t="shared" si="92"/>
        <v>16750429.226844702</v>
      </c>
      <c r="AC68" s="30">
        <f t="shared" si="96"/>
        <v>1276261.7175</v>
      </c>
      <c r="AD68" s="30">
        <f t="shared" si="96"/>
        <v>1570109.6319791668</v>
      </c>
      <c r="AE68" s="30">
        <f t="shared" si="96"/>
        <v>1717048.6827083335</v>
      </c>
      <c r="AF68" s="30">
        <f t="shared" si="96"/>
        <v>1815000</v>
      </c>
      <c r="AG68" s="30">
        <f t="shared" si="96"/>
        <v>1815000</v>
      </c>
      <c r="AH68" s="30">
        <f t="shared" si="96"/>
        <v>1815000</v>
      </c>
      <c r="AI68" s="30">
        <f t="shared" si="96"/>
        <v>1815000</v>
      </c>
      <c r="AJ68" s="30">
        <f t="shared" si="96"/>
        <v>1815000</v>
      </c>
      <c r="AK68" s="30">
        <f t="shared" si="96"/>
        <v>1815000</v>
      </c>
      <c r="AL68" s="30">
        <f t="shared" si="96"/>
        <v>1815000</v>
      </c>
      <c r="AM68" s="30">
        <f t="shared" si="96"/>
        <v>1815000</v>
      </c>
      <c r="AN68" s="30">
        <f t="shared" si="96"/>
        <v>1815000</v>
      </c>
      <c r="AO68" s="30">
        <f t="shared" si="89"/>
        <v>20898420.032187499</v>
      </c>
      <c r="AP68" s="28">
        <f t="shared" si="93"/>
        <v>42614220.659032203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</row>
    <row r="69" spans="1:62" ht="15.75" customHeight="1" outlineLevel="1">
      <c r="A69" s="28" t="str">
        <f t="shared" ref="A69:A84" si="97">A45</f>
        <v>Группа товара 3 (https://www.wildberries.ru/catalog/19233344/detail.aspx) - https://www.alibaba.com/product-detail/Seamless-women-s-Large-Size-Maternity_1600561506251.html?spm=a2700.picsearch.offer-list.245.7a5f5f93Wt5Tld</v>
      </c>
      <c r="B69" s="28">
        <f>B100/$B$30</f>
        <v>0</v>
      </c>
      <c r="C69" s="28">
        <f>B45</f>
        <v>50</v>
      </c>
      <c r="D69" s="28">
        <f>D45*0.5</f>
        <v>50</v>
      </c>
      <c r="E69" s="28">
        <f>D69</f>
        <v>50</v>
      </c>
      <c r="F69" s="28">
        <f>F45*0.5</f>
        <v>50</v>
      </c>
      <c r="G69" s="28">
        <f>F69</f>
        <v>50</v>
      </c>
      <c r="H69" s="28">
        <f>H45*0.5</f>
        <v>60</v>
      </c>
      <c r="I69" s="28">
        <f>H69</f>
        <v>60</v>
      </c>
      <c r="J69" s="28">
        <f>J45*0.5</f>
        <v>72</v>
      </c>
      <c r="K69" s="28">
        <f>J69</f>
        <v>72</v>
      </c>
      <c r="L69" s="28">
        <f t="shared" si="85"/>
        <v>75.600000000000009</v>
      </c>
      <c r="M69" s="28">
        <f t="shared" si="85"/>
        <v>79.38000000000001</v>
      </c>
      <c r="N69" s="28">
        <f t="shared" si="85"/>
        <v>83.349000000000018</v>
      </c>
      <c r="O69" s="30">
        <f t="shared" si="86"/>
        <v>752.32900000000006</v>
      </c>
      <c r="P69" s="46">
        <f>P45*0.7</f>
        <v>118.68266666666666</v>
      </c>
      <c r="Q69" s="28">
        <f>P69*1.1</f>
        <v>130.55093333333335</v>
      </c>
      <c r="R69" s="28">
        <f t="shared" si="87"/>
        <v>143.60602666666671</v>
      </c>
      <c r="S69" s="28">
        <f t="shared" si="87"/>
        <v>157.9666293333334</v>
      </c>
      <c r="T69" s="28">
        <f t="shared" si="87"/>
        <v>173.76329226666675</v>
      </c>
      <c r="U69" s="28">
        <f t="shared" si="87"/>
        <v>191.13962149333344</v>
      </c>
      <c r="V69" s="28">
        <f t="shared" si="87"/>
        <v>210.2535836426668</v>
      </c>
      <c r="W69" s="28">
        <f t="shared" si="87"/>
        <v>231.27894200693351</v>
      </c>
      <c r="X69" s="28">
        <f t="shared" si="87"/>
        <v>254.40683620762687</v>
      </c>
      <c r="Y69" s="28">
        <f t="shared" si="87"/>
        <v>279.84751982838958</v>
      </c>
      <c r="Z69" s="28">
        <f t="shared" si="87"/>
        <v>307.83227181122857</v>
      </c>
      <c r="AA69" s="28">
        <f t="shared" si="87"/>
        <v>338.61549899235143</v>
      </c>
      <c r="AB69" s="28">
        <f t="shared" si="92"/>
        <v>2537.9438222491972</v>
      </c>
      <c r="AC69" s="28">
        <f t="shared" ref="Q69:AN69" si="98">AC100/$B$30</f>
        <v>193.37298749999997</v>
      </c>
      <c r="AD69" s="28">
        <f t="shared" si="98"/>
        <v>237.8953987847222</v>
      </c>
      <c r="AE69" s="28">
        <f t="shared" si="98"/>
        <v>260.15889131944448</v>
      </c>
      <c r="AF69" s="28">
        <f t="shared" si="98"/>
        <v>275</v>
      </c>
      <c r="AG69" s="28">
        <f t="shared" si="98"/>
        <v>275</v>
      </c>
      <c r="AH69" s="28">
        <f t="shared" si="98"/>
        <v>275</v>
      </c>
      <c r="AI69" s="28">
        <f t="shared" si="98"/>
        <v>275</v>
      </c>
      <c r="AJ69" s="28">
        <f t="shared" si="98"/>
        <v>275</v>
      </c>
      <c r="AK69" s="28">
        <f t="shared" si="98"/>
        <v>275</v>
      </c>
      <c r="AL69" s="28">
        <f t="shared" si="98"/>
        <v>275</v>
      </c>
      <c r="AM69" s="28">
        <f t="shared" si="98"/>
        <v>275</v>
      </c>
      <c r="AN69" s="28">
        <f t="shared" si="98"/>
        <v>275</v>
      </c>
      <c r="AO69" s="30">
        <f t="shared" si="89"/>
        <v>3166.4272776041666</v>
      </c>
      <c r="AP69" s="28">
        <f t="shared" si="93"/>
        <v>6456.700099853364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.75" customHeight="1" outlineLevel="1">
      <c r="A70" s="28" t="str">
        <f t="shared" si="97"/>
        <v>На сумму</v>
      </c>
      <c r="B70" s="30">
        <f t="shared" ref="B70:N70" si="99">B69*$C$30</f>
        <v>0</v>
      </c>
      <c r="C70" s="30">
        <f>C69*$C$30</f>
        <v>270000</v>
      </c>
      <c r="D70" s="30">
        <f t="shared" si="99"/>
        <v>270000</v>
      </c>
      <c r="E70" s="30">
        <f t="shared" si="99"/>
        <v>270000</v>
      </c>
      <c r="F70" s="47">
        <f t="shared" si="99"/>
        <v>270000</v>
      </c>
      <c r="G70" s="47">
        <f t="shared" si="99"/>
        <v>270000</v>
      </c>
      <c r="H70" s="47">
        <f t="shared" si="99"/>
        <v>324000</v>
      </c>
      <c r="I70" s="47">
        <f t="shared" si="99"/>
        <v>324000</v>
      </c>
      <c r="J70" s="30">
        <f t="shared" si="99"/>
        <v>388800</v>
      </c>
      <c r="K70" s="30">
        <f t="shared" si="99"/>
        <v>388800</v>
      </c>
      <c r="L70" s="30">
        <f>L69*$C$30</f>
        <v>408240.00000000006</v>
      </c>
      <c r="M70" s="30">
        <f t="shared" si="99"/>
        <v>428652.00000000006</v>
      </c>
      <c r="N70" s="30">
        <f t="shared" si="99"/>
        <v>450084.60000000009</v>
      </c>
      <c r="O70" s="30">
        <f t="shared" si="86"/>
        <v>4062576.6</v>
      </c>
      <c r="P70" s="30">
        <f t="shared" ref="P70:AN70" si="100">P69*$C$30</f>
        <v>640886.4</v>
      </c>
      <c r="Q70" s="30">
        <f t="shared" si="100"/>
        <v>704975.04</v>
      </c>
      <c r="R70" s="30">
        <f>R69*$C$30</f>
        <v>775472.54400000023</v>
      </c>
      <c r="S70" s="30">
        <f t="shared" si="100"/>
        <v>853019.79840000032</v>
      </c>
      <c r="T70" s="30">
        <f t="shared" si="100"/>
        <v>938321.77824000048</v>
      </c>
      <c r="U70" s="30">
        <f t="shared" si="100"/>
        <v>1032153.9560640006</v>
      </c>
      <c r="V70" s="30">
        <f t="shared" si="100"/>
        <v>1135369.3516704007</v>
      </c>
      <c r="W70" s="30">
        <f t="shared" si="100"/>
        <v>1248906.2868374409</v>
      </c>
      <c r="X70" s="30">
        <f t="shared" si="100"/>
        <v>1373796.9155211851</v>
      </c>
      <c r="Y70" s="30">
        <f t="shared" si="100"/>
        <v>1511176.6070733038</v>
      </c>
      <c r="Z70" s="30">
        <f t="shared" si="100"/>
        <v>1662294.2677806343</v>
      </c>
      <c r="AA70" s="30">
        <f t="shared" si="100"/>
        <v>1828523.6945586978</v>
      </c>
      <c r="AB70" s="28">
        <f t="shared" si="92"/>
        <v>13704896.640145663</v>
      </c>
      <c r="AC70" s="30">
        <f t="shared" si="100"/>
        <v>1044214.1324999998</v>
      </c>
      <c r="AD70" s="30">
        <f t="shared" si="100"/>
        <v>1284635.1534374999</v>
      </c>
      <c r="AE70" s="30">
        <f t="shared" si="100"/>
        <v>1404858.0131250003</v>
      </c>
      <c r="AF70" s="30">
        <f t="shared" si="100"/>
        <v>1485000</v>
      </c>
      <c r="AG70" s="30">
        <f t="shared" si="100"/>
        <v>1485000</v>
      </c>
      <c r="AH70" s="30">
        <f t="shared" si="100"/>
        <v>1485000</v>
      </c>
      <c r="AI70" s="30">
        <f t="shared" si="100"/>
        <v>1485000</v>
      </c>
      <c r="AJ70" s="30">
        <f t="shared" si="100"/>
        <v>1485000</v>
      </c>
      <c r="AK70" s="30">
        <f t="shared" si="100"/>
        <v>1485000</v>
      </c>
      <c r="AL70" s="30">
        <f t="shared" si="100"/>
        <v>1485000</v>
      </c>
      <c r="AM70" s="30">
        <f t="shared" si="100"/>
        <v>1485000</v>
      </c>
      <c r="AN70" s="30">
        <f t="shared" si="100"/>
        <v>1485000</v>
      </c>
      <c r="AO70" s="30">
        <f t="shared" si="89"/>
        <v>17098707.299062498</v>
      </c>
      <c r="AP70" s="28">
        <f t="shared" si="93"/>
        <v>34866180.539208159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1:62" ht="15.75" customHeight="1" outlineLevel="1">
      <c r="A71" s="28" t="str">
        <f t="shared" si="97"/>
        <v>Группа товара 4(https://www.wildberries.ru/catalog/142807020/detail.aspx) - https://www.alibaba.com/product-detail/Classic-Lace-Attached-E-Cup-Size_60737441064.html?spm=a2700.picsearch.offer-list.29.3ce35f93UG3bdz</v>
      </c>
      <c r="B71" s="30">
        <f>B101/$B$31</f>
        <v>0</v>
      </c>
      <c r="C71" s="30">
        <f>B47</f>
        <v>56.400000000000006</v>
      </c>
      <c r="D71" s="28">
        <f>D47*0.5</f>
        <v>56.400000000000006</v>
      </c>
      <c r="E71" s="28">
        <f>D71</f>
        <v>56.400000000000006</v>
      </c>
      <c r="F71" s="28">
        <f>F47*0.5</f>
        <v>56.400000000000006</v>
      </c>
      <c r="G71" s="28">
        <f>F71</f>
        <v>56.400000000000006</v>
      </c>
      <c r="H71" s="28">
        <f>H47*0.5</f>
        <v>67.680000000000007</v>
      </c>
      <c r="I71" s="28">
        <f>H71</f>
        <v>67.680000000000007</v>
      </c>
      <c r="J71" s="28">
        <f>J47*0.5</f>
        <v>81.216000000000008</v>
      </c>
      <c r="K71" s="28">
        <f>J71</f>
        <v>81.216000000000008</v>
      </c>
      <c r="L71" s="28">
        <f t="shared" si="85"/>
        <v>85.276800000000009</v>
      </c>
      <c r="M71" s="28">
        <f t="shared" si="85"/>
        <v>89.54064000000001</v>
      </c>
      <c r="N71" s="28">
        <f t="shared" si="85"/>
        <v>94.017672000000019</v>
      </c>
      <c r="O71" s="30">
        <f t="shared" si="86"/>
        <v>848.62711200000012</v>
      </c>
      <c r="P71" s="46">
        <f>P47*0.7</f>
        <v>133.87404800000002</v>
      </c>
      <c r="Q71" s="28">
        <f>P71*1.1</f>
        <v>147.26145280000003</v>
      </c>
      <c r="R71" s="28">
        <f t="shared" si="87"/>
        <v>161.98759808000005</v>
      </c>
      <c r="S71" s="28">
        <f t="shared" si="87"/>
        <v>178.18635788800009</v>
      </c>
      <c r="T71" s="28">
        <f t="shared" si="87"/>
        <v>196.00499367680013</v>
      </c>
      <c r="U71" s="28">
        <f t="shared" si="87"/>
        <v>215.60549304448017</v>
      </c>
      <c r="V71" s="28">
        <f t="shared" si="87"/>
        <v>237.16604234892822</v>
      </c>
      <c r="W71" s="28">
        <f t="shared" si="87"/>
        <v>260.88264658382104</v>
      </c>
      <c r="X71" s="28">
        <f t="shared" si="87"/>
        <v>286.97091124220316</v>
      </c>
      <c r="Y71" s="28">
        <f t="shared" si="87"/>
        <v>315.66800236642348</v>
      </c>
      <c r="Z71" s="28">
        <f t="shared" si="87"/>
        <v>347.23480260306587</v>
      </c>
      <c r="AA71" s="28">
        <f t="shared" si="87"/>
        <v>381.95828286337252</v>
      </c>
      <c r="AB71" s="28">
        <f t="shared" si="92"/>
        <v>2862.8006314970949</v>
      </c>
      <c r="AC71" s="46">
        <f t="shared" ref="AC71" si="101">AVERAGE(Z71:AB71)</f>
        <v>1197.3312389878445</v>
      </c>
      <c r="AD71" s="46">
        <f t="shared" ref="AD71" si="102">AVERAGE(AA71:AC71)</f>
        <v>1480.6967177827707</v>
      </c>
      <c r="AE71" s="46">
        <f t="shared" ref="AE71" si="103">AVERAGE(AB71:AD71)</f>
        <v>1846.9428627559034</v>
      </c>
      <c r="AF71" s="46">
        <f t="shared" ref="AF71" si="104">AVERAGE(AC71:AE71)</f>
        <v>1508.3236065088395</v>
      </c>
      <c r="AG71" s="46">
        <f t="shared" ref="AG71" si="105">AVERAGE(AD71:AF71)</f>
        <v>1611.9877290158377</v>
      </c>
      <c r="AH71" s="46">
        <f t="shared" ref="AH71" si="106">AVERAGE(AE71:AG71)</f>
        <v>1655.7513994268602</v>
      </c>
      <c r="AI71" s="46">
        <f t="shared" ref="AI71" si="107">AVERAGE(AF71:AH71)</f>
        <v>1592.0209116505123</v>
      </c>
      <c r="AJ71" s="46">
        <f t="shared" ref="AJ71" si="108">AVERAGE(AG71:AI71)</f>
        <v>1619.9200133644033</v>
      </c>
      <c r="AK71" s="46">
        <f t="shared" ref="AK71" si="109">AVERAGE(AH71:AJ71)</f>
        <v>1622.5641081472586</v>
      </c>
      <c r="AL71" s="46">
        <f t="shared" ref="AL71" si="110">AVERAGE(AI71:AK71)</f>
        <v>1611.5016777207247</v>
      </c>
      <c r="AM71" s="46">
        <f t="shared" ref="AM71" si="111">AVERAGE(AJ71:AL71)</f>
        <v>1617.9952664107957</v>
      </c>
      <c r="AN71" s="46">
        <f t="shared" ref="AN71" si="112">AVERAGE(AK71:AM71)</f>
        <v>1617.3536840929264</v>
      </c>
      <c r="AO71" s="30">
        <f t="shared" si="89"/>
        <v>18982.389215864674</v>
      </c>
      <c r="AP71" s="28">
        <f t="shared" si="93"/>
        <v>22693.816959361768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</row>
    <row r="72" spans="1:62" ht="22.05" customHeight="1" outlineLevel="1">
      <c r="A72" s="28" t="str">
        <f t="shared" si="97"/>
        <v>На сумму</v>
      </c>
      <c r="B72" s="30">
        <f t="shared" ref="B72:F72" si="113">B71*$C$31</f>
        <v>0</v>
      </c>
      <c r="C72" s="30">
        <f>C71*$C$31</f>
        <v>94752.000000000015</v>
      </c>
      <c r="D72" s="30">
        <f t="shared" si="113"/>
        <v>94752.000000000015</v>
      </c>
      <c r="E72" s="30">
        <f t="shared" si="113"/>
        <v>94752.000000000015</v>
      </c>
      <c r="F72" s="47">
        <f t="shared" si="113"/>
        <v>94752.000000000015</v>
      </c>
      <c r="G72" s="47">
        <f t="shared" ref="G72" si="114">G71*$C$31</f>
        <v>94752.000000000015</v>
      </c>
      <c r="H72" s="47">
        <f t="shared" ref="H72" si="115">H71*$C$31</f>
        <v>113702.40000000001</v>
      </c>
      <c r="I72" s="47">
        <f t="shared" ref="I72" si="116">I71*$C$31</f>
        <v>113702.40000000001</v>
      </c>
      <c r="J72" s="47">
        <f t="shared" ref="J72" si="117">J71*$C$31</f>
        <v>136442.88</v>
      </c>
      <c r="K72" s="47">
        <f t="shared" ref="K72" si="118">K71*$C$31</f>
        <v>136442.88</v>
      </c>
      <c r="L72" s="47">
        <f>L71*$C$31</f>
        <v>143265.024</v>
      </c>
      <c r="M72" s="47">
        <f t="shared" ref="M72" si="119">M71*$C$31</f>
        <v>150428.2752</v>
      </c>
      <c r="N72" s="47">
        <f t="shared" ref="N72:AN72" si="120">N71*$C$31</f>
        <v>157949.68896000003</v>
      </c>
      <c r="O72" s="30">
        <f t="shared" si="86"/>
        <v>1425693.54816</v>
      </c>
      <c r="P72" s="47">
        <f t="shared" si="120"/>
        <v>224908.40064000004</v>
      </c>
      <c r="Q72" s="47">
        <f t="shared" si="120"/>
        <v>247399.24070400005</v>
      </c>
      <c r="R72" s="47">
        <f t="shared" si="120"/>
        <v>272139.16477440007</v>
      </c>
      <c r="S72" s="47">
        <f t="shared" si="120"/>
        <v>299353.08125184017</v>
      </c>
      <c r="T72" s="47">
        <f t="shared" si="120"/>
        <v>329288.3893770242</v>
      </c>
      <c r="U72" s="47">
        <f t="shared" si="120"/>
        <v>362217.22831472667</v>
      </c>
      <c r="V72" s="47">
        <f t="shared" si="120"/>
        <v>398438.95114619943</v>
      </c>
      <c r="W72" s="47">
        <f t="shared" si="120"/>
        <v>438282.84626081935</v>
      </c>
      <c r="X72" s="47">
        <f t="shared" si="120"/>
        <v>482111.13088690129</v>
      </c>
      <c r="Y72" s="47">
        <f t="shared" si="120"/>
        <v>530322.2439755915</v>
      </c>
      <c r="Z72" s="47">
        <f t="shared" si="120"/>
        <v>583354.46837315068</v>
      </c>
      <c r="AA72" s="47">
        <f t="shared" si="120"/>
        <v>641689.91521046578</v>
      </c>
      <c r="AB72" s="28">
        <f>SUM(P72:AA72)</f>
        <v>4809505.060915119</v>
      </c>
      <c r="AC72" s="47">
        <f t="shared" si="120"/>
        <v>2011516.4814995788</v>
      </c>
      <c r="AD72" s="47">
        <f t="shared" si="120"/>
        <v>2487570.4858750547</v>
      </c>
      <c r="AE72" s="47">
        <f t="shared" si="120"/>
        <v>3102864.0094299177</v>
      </c>
      <c r="AF72" s="47">
        <f t="shared" si="120"/>
        <v>2533983.6589348502</v>
      </c>
      <c r="AG72" s="47">
        <f t="shared" si="120"/>
        <v>2708139.3847466074</v>
      </c>
      <c r="AH72" s="47">
        <f t="shared" si="120"/>
        <v>2781662.3510371251</v>
      </c>
      <c r="AI72" s="47">
        <f t="shared" si="120"/>
        <v>2674595.1315728608</v>
      </c>
      <c r="AJ72" s="47">
        <f t="shared" si="120"/>
        <v>2721465.6224521976</v>
      </c>
      <c r="AK72" s="47">
        <f t="shared" si="120"/>
        <v>2725907.7016873946</v>
      </c>
      <c r="AL72" s="47">
        <f t="shared" si="120"/>
        <v>2707322.8185708174</v>
      </c>
      <c r="AM72" s="47">
        <f t="shared" si="120"/>
        <v>2718232.0475701368</v>
      </c>
      <c r="AN72" s="47">
        <f t="shared" si="120"/>
        <v>2717154.1892761164</v>
      </c>
      <c r="AO72" s="30">
        <f t="shared" si="89"/>
        <v>31890413.882652659</v>
      </c>
      <c r="AP72" s="28">
        <f t="shared" si="93"/>
        <v>38125612.491727777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</row>
    <row r="73" spans="1:62" ht="15.75" customHeight="1" outlineLevel="1">
      <c r="A73" s="28" t="str">
        <f t="shared" si="97"/>
        <v>Группа товара 5 (https://www.wildberries.ru/catalog/142807020/detail.aspx) - https://www.alibaba.com/product-detail/Classic-Lace-Attached-E-Cup-Size_60737441064.html?spm=a2700.picsearch.offer-list.29.3ce35f93UG3bdz</v>
      </c>
      <c r="B73" s="30">
        <f t="shared" ref="B73:B84" si="121">B72*$C$31</f>
        <v>0</v>
      </c>
      <c r="C73" s="30">
        <f>B49</f>
        <v>0</v>
      </c>
      <c r="D73" s="28">
        <f>D49*0.5</f>
        <v>0</v>
      </c>
      <c r="E73" s="28">
        <f>D73</f>
        <v>0</v>
      </c>
      <c r="F73" s="28">
        <f>F49*0.5</f>
        <v>0</v>
      </c>
      <c r="G73" s="28">
        <f>F73</f>
        <v>0</v>
      </c>
      <c r="H73" s="28">
        <f>H49*0.5</f>
        <v>0</v>
      </c>
      <c r="I73" s="28">
        <f>H73</f>
        <v>0</v>
      </c>
      <c r="J73" s="28">
        <f>J49*0.5</f>
        <v>0</v>
      </c>
      <c r="K73" s="28">
        <f>J73*1.05</f>
        <v>0</v>
      </c>
      <c r="L73" s="28">
        <f t="shared" si="85"/>
        <v>0</v>
      </c>
      <c r="M73" s="28">
        <f t="shared" si="85"/>
        <v>0</v>
      </c>
      <c r="N73" s="28">
        <f t="shared" si="85"/>
        <v>0</v>
      </c>
      <c r="O73" s="30">
        <f t="shared" si="86"/>
        <v>0</v>
      </c>
      <c r="P73" s="46">
        <f>P49*0.7</f>
        <v>0</v>
      </c>
      <c r="Q73" s="28">
        <f>P73*1.1</f>
        <v>0</v>
      </c>
      <c r="R73" s="28">
        <f t="shared" si="87"/>
        <v>0</v>
      </c>
      <c r="S73" s="28">
        <f t="shared" si="87"/>
        <v>0</v>
      </c>
      <c r="T73" s="28">
        <f t="shared" si="87"/>
        <v>0</v>
      </c>
      <c r="U73" s="28">
        <f t="shared" si="87"/>
        <v>0</v>
      </c>
      <c r="V73" s="28">
        <f t="shared" si="87"/>
        <v>0</v>
      </c>
      <c r="W73" s="28">
        <f t="shared" si="87"/>
        <v>0</v>
      </c>
      <c r="X73" s="28">
        <f t="shared" si="87"/>
        <v>0</v>
      </c>
      <c r="Y73" s="28">
        <f t="shared" si="87"/>
        <v>0</v>
      </c>
      <c r="Z73" s="28">
        <f t="shared" si="87"/>
        <v>0</v>
      </c>
      <c r="AA73" s="28">
        <f t="shared" si="87"/>
        <v>0</v>
      </c>
      <c r="AB73" s="28">
        <f t="shared" si="92"/>
        <v>0</v>
      </c>
      <c r="AC73" s="46">
        <f t="shared" ref="AC73" si="122">AVERAGE(Z73:AB73)</f>
        <v>0</v>
      </c>
      <c r="AD73" s="46">
        <f t="shared" ref="AD73" si="123">AVERAGE(AA73:AC73)</f>
        <v>0</v>
      </c>
      <c r="AE73" s="46">
        <f t="shared" ref="AE73" si="124">AVERAGE(AB73:AD73)</f>
        <v>0</v>
      </c>
      <c r="AF73" s="46">
        <f t="shared" ref="AF73" si="125">AVERAGE(AC73:AE73)</f>
        <v>0</v>
      </c>
      <c r="AG73" s="46">
        <f t="shared" ref="AG73" si="126">AVERAGE(AD73:AF73)</f>
        <v>0</v>
      </c>
      <c r="AH73" s="46">
        <f t="shared" ref="AH73" si="127">AVERAGE(AE73:AG73)</f>
        <v>0</v>
      </c>
      <c r="AI73" s="46">
        <f t="shared" ref="AI73" si="128">AVERAGE(AF73:AH73)</f>
        <v>0</v>
      </c>
      <c r="AJ73" s="46">
        <f t="shared" ref="AJ73" si="129">AVERAGE(AG73:AI73)</f>
        <v>0</v>
      </c>
      <c r="AK73" s="46">
        <f t="shared" ref="AK73" si="130">AVERAGE(AH73:AJ73)</f>
        <v>0</v>
      </c>
      <c r="AL73" s="46">
        <f t="shared" ref="AL73" si="131">AVERAGE(AI73:AK73)</f>
        <v>0</v>
      </c>
      <c r="AM73" s="46">
        <f t="shared" ref="AM73" si="132">AVERAGE(AJ73:AL73)</f>
        <v>0</v>
      </c>
      <c r="AN73" s="46">
        <f t="shared" ref="AN73" si="133">AVERAGE(AK73:AM73)</f>
        <v>0</v>
      </c>
      <c r="AO73" s="30">
        <f t="shared" si="89"/>
        <v>0</v>
      </c>
      <c r="AP73" s="28">
        <f t="shared" si="93"/>
        <v>0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</row>
    <row r="74" spans="1:62" ht="15.75" customHeight="1" outlineLevel="1">
      <c r="A74" s="28" t="str">
        <f t="shared" si="97"/>
        <v>На сумму</v>
      </c>
      <c r="B74" s="30">
        <f t="shared" si="121"/>
        <v>0</v>
      </c>
      <c r="C74" s="30">
        <f>C73*$C$32</f>
        <v>0</v>
      </c>
      <c r="D74" s="30">
        <f t="shared" ref="C74:F74" si="134">D73*$C$32</f>
        <v>0</v>
      </c>
      <c r="E74" s="30">
        <f t="shared" si="134"/>
        <v>0</v>
      </c>
      <c r="F74" s="47">
        <f t="shared" si="134"/>
        <v>0</v>
      </c>
      <c r="G74" s="47">
        <f t="shared" ref="G74" si="135">G73*$C$32</f>
        <v>0</v>
      </c>
      <c r="H74" s="47">
        <f t="shared" ref="H74" si="136">H73*$C$32</f>
        <v>0</v>
      </c>
      <c r="I74" s="47">
        <f t="shared" ref="I74" si="137">I73*$C$32</f>
        <v>0</v>
      </c>
      <c r="J74" s="47">
        <f t="shared" ref="J74" si="138">J73*$C$32</f>
        <v>0</v>
      </c>
      <c r="K74" s="47">
        <f t="shared" ref="K74" si="139">K73*$C$32</f>
        <v>0</v>
      </c>
      <c r="L74" s="47">
        <f>L73*$C$32</f>
        <v>0</v>
      </c>
      <c r="M74" s="47">
        <f t="shared" ref="M74" si="140">M73*$C$32</f>
        <v>0</v>
      </c>
      <c r="N74" s="47">
        <f t="shared" ref="N74:AN74" si="141">N73*$C$32</f>
        <v>0</v>
      </c>
      <c r="O74" s="30">
        <f t="shared" si="86"/>
        <v>0</v>
      </c>
      <c r="P74" s="47">
        <f t="shared" si="141"/>
        <v>0</v>
      </c>
      <c r="Q74" s="47">
        <f t="shared" si="141"/>
        <v>0</v>
      </c>
      <c r="R74" s="47">
        <f t="shared" si="141"/>
        <v>0</v>
      </c>
      <c r="S74" s="47">
        <f t="shared" si="141"/>
        <v>0</v>
      </c>
      <c r="T74" s="47">
        <f t="shared" si="141"/>
        <v>0</v>
      </c>
      <c r="U74" s="47">
        <f t="shared" si="141"/>
        <v>0</v>
      </c>
      <c r="V74" s="47">
        <f t="shared" si="141"/>
        <v>0</v>
      </c>
      <c r="W74" s="47">
        <f t="shared" si="141"/>
        <v>0</v>
      </c>
      <c r="X74" s="47">
        <f t="shared" si="141"/>
        <v>0</v>
      </c>
      <c r="Y74" s="47">
        <f t="shared" si="141"/>
        <v>0</v>
      </c>
      <c r="Z74" s="47">
        <f t="shared" si="141"/>
        <v>0</v>
      </c>
      <c r="AA74" s="47">
        <f t="shared" si="141"/>
        <v>0</v>
      </c>
      <c r="AB74" s="28">
        <f t="shared" si="92"/>
        <v>0</v>
      </c>
      <c r="AC74" s="47">
        <f t="shared" si="141"/>
        <v>0</v>
      </c>
      <c r="AD74" s="47">
        <f t="shared" si="141"/>
        <v>0</v>
      </c>
      <c r="AE74" s="47">
        <f t="shared" si="141"/>
        <v>0</v>
      </c>
      <c r="AF74" s="47">
        <f t="shared" si="141"/>
        <v>0</v>
      </c>
      <c r="AG74" s="47">
        <f t="shared" si="141"/>
        <v>0</v>
      </c>
      <c r="AH74" s="47">
        <f t="shared" si="141"/>
        <v>0</v>
      </c>
      <c r="AI74" s="47">
        <f t="shared" si="141"/>
        <v>0</v>
      </c>
      <c r="AJ74" s="47">
        <f t="shared" si="141"/>
        <v>0</v>
      </c>
      <c r="AK74" s="47">
        <f t="shared" si="141"/>
        <v>0</v>
      </c>
      <c r="AL74" s="47">
        <f t="shared" si="141"/>
        <v>0</v>
      </c>
      <c r="AM74" s="47">
        <f t="shared" si="141"/>
        <v>0</v>
      </c>
      <c r="AN74" s="47">
        <f t="shared" si="141"/>
        <v>0</v>
      </c>
      <c r="AO74" s="30">
        <f t="shared" si="89"/>
        <v>0</v>
      </c>
      <c r="AP74" s="28">
        <f t="shared" si="93"/>
        <v>0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</row>
    <row r="75" spans="1:62" ht="15.75" customHeight="1" outlineLevel="1">
      <c r="A75" s="28" t="str">
        <f t="shared" si="97"/>
        <v>Группа товара 6 (https://www.wildberries.ru/catalog/153278625/detail.aspx?targetUrl=SG) - https://www.alibaba.com/product-detail/Short-Kimono-Women-with-Gold-Glitter_1600169146372.html?spm=a2700.galleryofferlist.normal_offer.d_title.55a23841mj8dzX</v>
      </c>
      <c r="B75" s="30">
        <f t="shared" si="121"/>
        <v>0</v>
      </c>
      <c r="C75" s="49">
        <f>B51</f>
        <v>29.75</v>
      </c>
      <c r="D75" s="28">
        <f>D51*0.5</f>
        <v>29.75</v>
      </c>
      <c r="E75" s="28">
        <f>D75</f>
        <v>29.75</v>
      </c>
      <c r="F75" s="28">
        <f>F51*0.5</f>
        <v>29.75</v>
      </c>
      <c r="G75" s="28">
        <f>F75</f>
        <v>29.75</v>
      </c>
      <c r="H75" s="28">
        <f>H51*0.5</f>
        <v>35.699999999999996</v>
      </c>
      <c r="I75" s="28">
        <f>H75</f>
        <v>35.699999999999996</v>
      </c>
      <c r="J75" s="28">
        <f>J51*0.5</f>
        <v>42.839999999999996</v>
      </c>
      <c r="K75" s="28">
        <f>J75</f>
        <v>42.839999999999996</v>
      </c>
      <c r="L75" s="28">
        <f t="shared" si="85"/>
        <v>44.981999999999999</v>
      </c>
      <c r="M75" s="28">
        <f t="shared" si="85"/>
        <v>47.231099999999998</v>
      </c>
      <c r="N75" s="28">
        <f t="shared" si="85"/>
        <v>49.592655000000001</v>
      </c>
      <c r="O75" s="30">
        <f t="shared" si="86"/>
        <v>447.63575499999985</v>
      </c>
      <c r="P75" s="46">
        <f>P51*0.7</f>
        <v>70.616186666666664</v>
      </c>
      <c r="Q75" s="28">
        <f>P75*1.1</f>
        <v>77.677805333333339</v>
      </c>
      <c r="R75" s="28">
        <f t="shared" si="87"/>
        <v>85.445585866666676</v>
      </c>
      <c r="S75" s="28">
        <f t="shared" si="87"/>
        <v>93.990144453333357</v>
      </c>
      <c r="T75" s="28">
        <f t="shared" si="87"/>
        <v>103.38915889866671</v>
      </c>
      <c r="U75" s="28">
        <f t="shared" si="87"/>
        <v>113.72807478853339</v>
      </c>
      <c r="V75" s="28">
        <f t="shared" si="87"/>
        <v>125.10088226738674</v>
      </c>
      <c r="W75" s="28">
        <f t="shared" si="87"/>
        <v>137.61097049412541</v>
      </c>
      <c r="X75" s="28">
        <f t="shared" si="87"/>
        <v>151.37206754353795</v>
      </c>
      <c r="Y75" s="28">
        <f t="shared" si="87"/>
        <v>166.50927429789175</v>
      </c>
      <c r="Z75" s="28">
        <f t="shared" si="87"/>
        <v>183.16020172768094</v>
      </c>
      <c r="AA75" s="28">
        <f t="shared" si="87"/>
        <v>201.47622190044905</v>
      </c>
      <c r="AB75" s="28">
        <f t="shared" si="92"/>
        <v>1510.0765742382721</v>
      </c>
      <c r="AC75" s="46">
        <f t="shared" ref="AC75" si="142">AVERAGE(Z75:AB75)</f>
        <v>631.57099928880064</v>
      </c>
      <c r="AD75" s="46">
        <f t="shared" ref="AD75" si="143">AVERAGE(AA75:AC75)</f>
        <v>781.0412651425072</v>
      </c>
      <c r="AE75" s="46">
        <f t="shared" ref="AE75" si="144">AVERAGE(AB75:AD75)</f>
        <v>974.22961288986005</v>
      </c>
      <c r="AF75" s="46">
        <f t="shared" ref="AF75" si="145">AVERAGE(AC75:AE75)</f>
        <v>795.61395910705596</v>
      </c>
      <c r="AG75" s="46">
        <f t="shared" ref="AG75" si="146">AVERAGE(AD75:AF75)</f>
        <v>850.29494571314115</v>
      </c>
      <c r="AH75" s="46">
        <f t="shared" ref="AH75" si="147">AVERAGE(AE75:AG75)</f>
        <v>873.37950590335242</v>
      </c>
      <c r="AI75" s="46">
        <f t="shared" ref="AI75" si="148">AVERAGE(AF75:AH75)</f>
        <v>839.76280357451651</v>
      </c>
      <c r="AJ75" s="46">
        <f t="shared" ref="AJ75" si="149">AVERAGE(AG75:AI75)</f>
        <v>854.47908506367003</v>
      </c>
      <c r="AK75" s="46">
        <f t="shared" ref="AK75" si="150">AVERAGE(AH75:AJ75)</f>
        <v>855.87379818051295</v>
      </c>
      <c r="AL75" s="46">
        <f t="shared" ref="AL75" si="151">AVERAGE(AI75:AK75)</f>
        <v>850.03856227289987</v>
      </c>
      <c r="AM75" s="46">
        <f t="shared" ref="AM75" si="152">AVERAGE(AJ75:AL75)</f>
        <v>853.46381517236102</v>
      </c>
      <c r="AN75" s="46">
        <f t="shared" ref="AN75" si="153">AVERAGE(AK75:AM75)</f>
        <v>853.12539187525806</v>
      </c>
      <c r="AO75" s="30">
        <f t="shared" si="89"/>
        <v>10012.873744183935</v>
      </c>
      <c r="AP75" s="28">
        <f t="shared" si="93"/>
        <v>11970.586073422206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1:62" ht="15.75" customHeight="1" outlineLevel="1">
      <c r="A76" s="28" t="str">
        <f t="shared" si="97"/>
        <v>На сумму</v>
      </c>
      <c r="B76" s="30">
        <f t="shared" si="121"/>
        <v>0</v>
      </c>
      <c r="C76" s="30">
        <f>C75*$C$33</f>
        <v>267750</v>
      </c>
      <c r="D76" s="30">
        <f t="shared" ref="C76:F76" si="154">D75*$C$33</f>
        <v>267750</v>
      </c>
      <c r="E76" s="30">
        <f t="shared" si="154"/>
        <v>267750</v>
      </c>
      <c r="F76" s="47">
        <f t="shared" si="154"/>
        <v>267750</v>
      </c>
      <c r="G76" s="47">
        <f t="shared" ref="G76" si="155">G75*$C$33</f>
        <v>267750</v>
      </c>
      <c r="H76" s="47">
        <f t="shared" ref="H76" si="156">H75*$C$33</f>
        <v>321299.99999999994</v>
      </c>
      <c r="I76" s="47">
        <f t="shared" ref="I76" si="157">I75*$C$33</f>
        <v>321299.99999999994</v>
      </c>
      <c r="J76" s="47">
        <f t="shared" ref="J76" si="158">J75*$C$33</f>
        <v>385559.99999999994</v>
      </c>
      <c r="K76" s="47">
        <f t="shared" ref="K76" si="159">K75*$C$33</f>
        <v>385559.99999999994</v>
      </c>
      <c r="L76" s="47">
        <f>L75*$C$33</f>
        <v>404838</v>
      </c>
      <c r="M76" s="47">
        <f t="shared" ref="M76" si="160">M75*$C$33</f>
        <v>425079.89999999997</v>
      </c>
      <c r="N76" s="47">
        <f t="shared" ref="N76:AN76" si="161">N75*$C$33</f>
        <v>446333.89500000002</v>
      </c>
      <c r="O76" s="30">
        <f t="shared" si="86"/>
        <v>4028721.7949999999</v>
      </c>
      <c r="P76" s="47">
        <f t="shared" si="161"/>
        <v>635545.67999999993</v>
      </c>
      <c r="Q76" s="47">
        <f t="shared" si="161"/>
        <v>699100.24800000002</v>
      </c>
      <c r="R76" s="47">
        <f t="shared" si="161"/>
        <v>769010.27280000004</v>
      </c>
      <c r="S76" s="47">
        <f t="shared" si="161"/>
        <v>845911.30008000019</v>
      </c>
      <c r="T76" s="47">
        <f t="shared" si="161"/>
        <v>930502.43008800037</v>
      </c>
      <c r="U76" s="47">
        <f t="shared" si="161"/>
        <v>1023552.6730968006</v>
      </c>
      <c r="V76" s="47">
        <f t="shared" si="161"/>
        <v>1125907.9404064806</v>
      </c>
      <c r="W76" s="47">
        <f t="shared" si="161"/>
        <v>1238498.7344471286</v>
      </c>
      <c r="X76" s="47">
        <f t="shared" si="161"/>
        <v>1362348.6078918416</v>
      </c>
      <c r="Y76" s="47">
        <f t="shared" si="161"/>
        <v>1498583.4686810258</v>
      </c>
      <c r="Z76" s="47">
        <f t="shared" si="161"/>
        <v>1648441.8155491285</v>
      </c>
      <c r="AA76" s="47">
        <f t="shared" si="161"/>
        <v>1813285.9971040415</v>
      </c>
      <c r="AB76" s="28">
        <f t="shared" si="92"/>
        <v>13590689.168144446</v>
      </c>
      <c r="AC76" s="47">
        <f t="shared" si="161"/>
        <v>5684138.9935992053</v>
      </c>
      <c r="AD76" s="47">
        <f t="shared" si="161"/>
        <v>7029371.3862825651</v>
      </c>
      <c r="AE76" s="47">
        <f t="shared" si="161"/>
        <v>8768066.5160087403</v>
      </c>
      <c r="AF76" s="47">
        <f t="shared" si="161"/>
        <v>7160525.6319635035</v>
      </c>
      <c r="AG76" s="47">
        <f t="shared" si="161"/>
        <v>7652654.5114182699</v>
      </c>
      <c r="AH76" s="47">
        <f t="shared" si="161"/>
        <v>7860415.5531301722</v>
      </c>
      <c r="AI76" s="47">
        <f t="shared" si="161"/>
        <v>7557865.2321706489</v>
      </c>
      <c r="AJ76" s="47">
        <f t="shared" si="161"/>
        <v>7690311.7655730303</v>
      </c>
      <c r="AK76" s="47">
        <f t="shared" si="161"/>
        <v>7702864.1836246168</v>
      </c>
      <c r="AL76" s="47">
        <f t="shared" si="161"/>
        <v>7650347.060456099</v>
      </c>
      <c r="AM76" s="47">
        <f t="shared" si="161"/>
        <v>7681174.336551249</v>
      </c>
      <c r="AN76" s="47">
        <f t="shared" si="161"/>
        <v>7678128.5268773222</v>
      </c>
      <c r="AO76" s="30">
        <f t="shared" si="89"/>
        <v>90115863.697655439</v>
      </c>
      <c r="AP76" s="28">
        <f t="shared" si="93"/>
        <v>107735274.66079989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</row>
    <row r="77" spans="1:62" ht="15.75" customHeight="1" outlineLevel="1">
      <c r="A77" s="28" t="str">
        <f t="shared" si="97"/>
        <v>Группа товара 7 (https://www.wildberries.ru/catalog/138930715/detail.aspx) - https://www.alibaba.com/product-detail/Wholes-cheap-price-100-cotton-sexy_1600776352331.html?spm=a2700.picsearch.offer-list.46.549a5f93NiRd7T</v>
      </c>
      <c r="B77" s="30">
        <f t="shared" si="121"/>
        <v>0</v>
      </c>
      <c r="C77" s="49">
        <f>B53</f>
        <v>24.200000000000003</v>
      </c>
      <c r="D77" s="28">
        <f>D53*0.5</f>
        <v>24.200000000000003</v>
      </c>
      <c r="E77" s="28">
        <f>D77</f>
        <v>24.200000000000003</v>
      </c>
      <c r="F77" s="28">
        <f>F53*0.5</f>
        <v>24.200000000000003</v>
      </c>
      <c r="G77" s="28">
        <f>F77</f>
        <v>24.200000000000003</v>
      </c>
      <c r="H77" s="28">
        <f>H53*0.5</f>
        <v>29.040000000000003</v>
      </c>
      <c r="I77" s="28">
        <f>H77</f>
        <v>29.040000000000003</v>
      </c>
      <c r="J77" s="28">
        <f>J53*0.5</f>
        <v>34.847999999999999</v>
      </c>
      <c r="K77" s="28">
        <f>J77</f>
        <v>34.847999999999999</v>
      </c>
      <c r="L77" s="28">
        <f t="shared" si="85"/>
        <v>36.590400000000002</v>
      </c>
      <c r="M77" s="28">
        <f t="shared" si="85"/>
        <v>38.419920000000005</v>
      </c>
      <c r="N77" s="28">
        <f t="shared" si="85"/>
        <v>40.340916000000007</v>
      </c>
      <c r="O77" s="30">
        <f t="shared" si="86"/>
        <v>364.12723599999998</v>
      </c>
      <c r="P77" s="46">
        <f>P53*0.7</f>
        <v>57.44241066666666</v>
      </c>
      <c r="Q77" s="28">
        <f>P77*1.1</f>
        <v>63.186651733333335</v>
      </c>
      <c r="R77" s="28">
        <f t="shared" si="87"/>
        <v>69.505316906666678</v>
      </c>
      <c r="S77" s="28">
        <f t="shared" si="87"/>
        <v>76.455848597333357</v>
      </c>
      <c r="T77" s="28">
        <f t="shared" si="87"/>
        <v>84.101433457066705</v>
      </c>
      <c r="U77" s="28">
        <f t="shared" si="87"/>
        <v>92.511576802773376</v>
      </c>
      <c r="V77" s="28">
        <f t="shared" si="87"/>
        <v>101.76273448305072</v>
      </c>
      <c r="W77" s="28">
        <f t="shared" si="87"/>
        <v>111.9390079313558</v>
      </c>
      <c r="X77" s="28">
        <f t="shared" si="87"/>
        <v>123.13290872449139</v>
      </c>
      <c r="Y77" s="28">
        <f t="shared" si="87"/>
        <v>135.44619959694055</v>
      </c>
      <c r="Z77" s="28">
        <f t="shared" si="87"/>
        <v>148.99081955663462</v>
      </c>
      <c r="AA77" s="28">
        <f t="shared" si="87"/>
        <v>163.88990151229808</v>
      </c>
      <c r="AB77" s="28">
        <f t="shared" si="92"/>
        <v>1228.3648099686113</v>
      </c>
      <c r="AC77" s="46">
        <f t="shared" ref="AC77" si="162">AVERAGE(Z77:AB77)</f>
        <v>513.74851034584799</v>
      </c>
      <c r="AD77" s="46">
        <f t="shared" ref="AD77" si="163">AVERAGE(AA77:AC77)</f>
        <v>635.33440727558582</v>
      </c>
      <c r="AE77" s="46">
        <f t="shared" ref="AE77" si="164">AVERAGE(AB77:AD77)</f>
        <v>792.48257586334842</v>
      </c>
      <c r="AF77" s="46">
        <f t="shared" ref="AF77" si="165">AVERAGE(AC77:AE77)</f>
        <v>647.18849782826067</v>
      </c>
      <c r="AG77" s="46">
        <f t="shared" ref="AG77" si="166">AVERAGE(AD77:AF77)</f>
        <v>691.6684936557316</v>
      </c>
      <c r="AH77" s="46">
        <f t="shared" ref="AH77" si="167">AVERAGE(AE77:AG77)</f>
        <v>710.44652244911356</v>
      </c>
      <c r="AI77" s="46">
        <f t="shared" ref="AI77" si="168">AVERAGE(AF77:AH77)</f>
        <v>683.10117131103527</v>
      </c>
      <c r="AJ77" s="46">
        <f t="shared" ref="AJ77" si="169">AVERAGE(AG77:AI77)</f>
        <v>695.07206247196018</v>
      </c>
      <c r="AK77" s="46">
        <f t="shared" ref="AK77" si="170">AVERAGE(AH77:AJ77)</f>
        <v>696.20658541070304</v>
      </c>
      <c r="AL77" s="46">
        <f t="shared" ref="AL77" si="171">AVERAGE(AI77:AK77)</f>
        <v>691.45993973123279</v>
      </c>
      <c r="AM77" s="46">
        <f t="shared" ref="AM77" si="172">AVERAGE(AJ77:AL77)</f>
        <v>694.24619587129871</v>
      </c>
      <c r="AN77" s="46">
        <f t="shared" ref="AN77" si="173">AVERAGE(AK77:AM77)</f>
        <v>693.97090700441152</v>
      </c>
      <c r="AO77" s="30">
        <f t="shared" si="89"/>
        <v>8144.9258692185294</v>
      </c>
      <c r="AP77" s="28">
        <f t="shared" si="93"/>
        <v>9737.4179151871413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1:62" ht="15.75" customHeight="1" outlineLevel="1">
      <c r="A78" s="28" t="str">
        <f t="shared" si="97"/>
        <v>На сумму</v>
      </c>
      <c r="B78" s="30">
        <f t="shared" si="121"/>
        <v>0</v>
      </c>
      <c r="C78" s="30">
        <f>C77*$C$34</f>
        <v>159720.00000000003</v>
      </c>
      <c r="D78" s="30">
        <f t="shared" ref="C78:F78" si="174">D77*$C$34</f>
        <v>159720.00000000003</v>
      </c>
      <c r="E78" s="30">
        <f t="shared" si="174"/>
        <v>159720.00000000003</v>
      </c>
      <c r="F78" s="47">
        <f t="shared" si="174"/>
        <v>159720.00000000003</v>
      </c>
      <c r="G78" s="47">
        <f t="shared" ref="G78" si="175">G77*$C$34</f>
        <v>159720.00000000003</v>
      </c>
      <c r="H78" s="47">
        <f t="shared" ref="H78" si="176">H77*$C$34</f>
        <v>191664.00000000003</v>
      </c>
      <c r="I78" s="47">
        <f t="shared" ref="I78" si="177">I77*$C$34</f>
        <v>191664.00000000003</v>
      </c>
      <c r="J78" s="47">
        <f t="shared" ref="J78" si="178">J77*$C$34</f>
        <v>229996.79999999999</v>
      </c>
      <c r="K78" s="47">
        <f t="shared" ref="K78" si="179">K77*$C$34</f>
        <v>229996.79999999999</v>
      </c>
      <c r="L78" s="47">
        <f t="shared" ref="L78" si="180">L77*$C$34</f>
        <v>241496.64</v>
      </c>
      <c r="M78" s="47">
        <f t="shared" ref="M78" si="181">M77*$C$34</f>
        <v>253571.47200000004</v>
      </c>
      <c r="N78" s="47">
        <f t="shared" ref="N78:AN78" si="182">N77*$C$34</f>
        <v>266250.04560000007</v>
      </c>
      <c r="O78" s="30">
        <f t="shared" si="86"/>
        <v>2403239.7576000001</v>
      </c>
      <c r="P78" s="47">
        <f t="shared" si="182"/>
        <v>379119.91039999994</v>
      </c>
      <c r="Q78" s="47">
        <f t="shared" si="182"/>
        <v>417031.90143999999</v>
      </c>
      <c r="R78" s="47">
        <f t="shared" si="182"/>
        <v>458735.0915840001</v>
      </c>
      <c r="S78" s="47">
        <f t="shared" si="182"/>
        <v>504608.60074240016</v>
      </c>
      <c r="T78" s="47">
        <f t="shared" si="182"/>
        <v>555069.46081664029</v>
      </c>
      <c r="U78" s="47">
        <f t="shared" si="182"/>
        <v>610576.40689830424</v>
      </c>
      <c r="V78" s="47">
        <f t="shared" si="182"/>
        <v>671634.04758813477</v>
      </c>
      <c r="W78" s="47">
        <f t="shared" si="182"/>
        <v>738797.45234694832</v>
      </c>
      <c r="X78" s="47">
        <f t="shared" si="182"/>
        <v>812677.19758164312</v>
      </c>
      <c r="Y78" s="47">
        <f t="shared" si="182"/>
        <v>893944.91733980761</v>
      </c>
      <c r="Z78" s="47">
        <f t="shared" si="182"/>
        <v>983339.40907378844</v>
      </c>
      <c r="AA78" s="47">
        <f t="shared" si="182"/>
        <v>1081673.3499811674</v>
      </c>
      <c r="AB78" s="28">
        <f t="shared" si="92"/>
        <v>8107207.7457928341</v>
      </c>
      <c r="AC78" s="47">
        <f t="shared" si="182"/>
        <v>3390740.1682825969</v>
      </c>
      <c r="AD78" s="47">
        <f t="shared" si="182"/>
        <v>4193207.0880188663</v>
      </c>
      <c r="AE78" s="47">
        <f t="shared" si="182"/>
        <v>5230385.0006980998</v>
      </c>
      <c r="AF78" s="47">
        <f t="shared" si="182"/>
        <v>4271444.0856665205</v>
      </c>
      <c r="AG78" s="47">
        <f t="shared" si="182"/>
        <v>4565012.0581278289</v>
      </c>
      <c r="AH78" s="47">
        <f t="shared" si="182"/>
        <v>4688947.0481641497</v>
      </c>
      <c r="AI78" s="47">
        <f t="shared" si="182"/>
        <v>4508467.7306528324</v>
      </c>
      <c r="AJ78" s="47">
        <f t="shared" si="182"/>
        <v>4587475.6123149376</v>
      </c>
      <c r="AK78" s="47">
        <f t="shared" si="182"/>
        <v>4594963.4637106396</v>
      </c>
      <c r="AL78" s="47">
        <f t="shared" si="182"/>
        <v>4563635.6022261363</v>
      </c>
      <c r="AM78" s="47">
        <f t="shared" si="182"/>
        <v>4582024.8927505715</v>
      </c>
      <c r="AN78" s="47">
        <f t="shared" si="182"/>
        <v>4580207.9862291161</v>
      </c>
      <c r="AO78" s="30">
        <f t="shared" si="89"/>
        <v>53756510.73684229</v>
      </c>
      <c r="AP78" s="28">
        <f t="shared" si="93"/>
        <v>64266958.24023512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1:62" ht="15.75" customHeight="1" outlineLevel="1">
      <c r="A79" s="28" t="str">
        <f t="shared" si="97"/>
        <v>Группа товара 8 (https://www.wildberries.ru/catalog/160938456/detail.aspx) - https://www.alibaba.com/product-detail/Sexy-lingerie-set-three-point-sexy_1600286034089.html?spm=a2700.picsearch.offer-list.145.54ea5f93QuTOnH</v>
      </c>
      <c r="B79" s="30">
        <f t="shared" si="121"/>
        <v>0</v>
      </c>
      <c r="C79" s="49">
        <f>B55</f>
        <v>60.150000000000006</v>
      </c>
      <c r="D79" s="28">
        <f>D55*0.5</f>
        <v>60.150000000000006</v>
      </c>
      <c r="E79" s="28">
        <f>D79</f>
        <v>60.150000000000006</v>
      </c>
      <c r="F79" s="28">
        <f>F55*0.5</f>
        <v>60.150000000000006</v>
      </c>
      <c r="G79" s="28">
        <f>F79</f>
        <v>60.150000000000006</v>
      </c>
      <c r="H79" s="28">
        <f>H55*0.5</f>
        <v>72.180000000000007</v>
      </c>
      <c r="I79" s="28">
        <f>H79</f>
        <v>72.180000000000007</v>
      </c>
      <c r="J79" s="28">
        <f>J55*0.5</f>
        <v>86.616</v>
      </c>
      <c r="K79" s="28">
        <f>J79</f>
        <v>86.616</v>
      </c>
      <c r="L79" s="28">
        <f t="shared" si="85"/>
        <v>90.94680000000001</v>
      </c>
      <c r="M79" s="28">
        <f t="shared" si="85"/>
        <v>95.494140000000016</v>
      </c>
      <c r="N79" s="28">
        <f t="shared" si="85"/>
        <v>100.26884700000002</v>
      </c>
      <c r="O79" s="30">
        <f t="shared" si="86"/>
        <v>905.0517870000001</v>
      </c>
      <c r="P79" s="46">
        <f>P55*0.7</f>
        <v>142.775248</v>
      </c>
      <c r="Q79" s="28">
        <f>P79*1.1</f>
        <v>157.05277280000001</v>
      </c>
      <c r="R79" s="28">
        <f t="shared" si="87"/>
        <v>172.75805008000003</v>
      </c>
      <c r="S79" s="28">
        <f t="shared" si="87"/>
        <v>190.03385508800005</v>
      </c>
      <c r="T79" s="28">
        <f t="shared" si="87"/>
        <v>209.03724059680007</v>
      </c>
      <c r="U79" s="28">
        <f t="shared" si="87"/>
        <v>229.94096465648011</v>
      </c>
      <c r="V79" s="28">
        <f t="shared" si="87"/>
        <v>252.93506112212813</v>
      </c>
      <c r="W79" s="28">
        <f t="shared" si="87"/>
        <v>278.22856723434097</v>
      </c>
      <c r="X79" s="28">
        <f t="shared" si="87"/>
        <v>306.05142395777511</v>
      </c>
      <c r="Y79" s="28">
        <f t="shared" si="87"/>
        <v>336.65656635355265</v>
      </c>
      <c r="Z79" s="28">
        <f t="shared" si="87"/>
        <v>370.32222298890792</v>
      </c>
      <c r="AA79" s="28">
        <f t="shared" si="87"/>
        <v>407.35444528779874</v>
      </c>
      <c r="AB79" s="28">
        <f t="shared" si="92"/>
        <v>3053.1464181657839</v>
      </c>
      <c r="AC79" s="46">
        <f t="shared" ref="AC79" si="183">AVERAGE(Z79:AB79)</f>
        <v>1276.9410288141635</v>
      </c>
      <c r="AD79" s="46">
        <f t="shared" ref="AD79" si="184">AVERAGE(AA79:AC79)</f>
        <v>1579.1472974225819</v>
      </c>
      <c r="AE79" s="46">
        <f t="shared" ref="AE79" si="185">AVERAGE(AB79:AD79)</f>
        <v>1969.7449148008429</v>
      </c>
      <c r="AF79" s="46">
        <f t="shared" ref="AF79" si="186">AVERAGE(AC79:AE79)</f>
        <v>1608.6110803458625</v>
      </c>
      <c r="AG79" s="46">
        <f t="shared" ref="AG79" si="187">AVERAGE(AD79:AF79)</f>
        <v>1719.1677641897625</v>
      </c>
      <c r="AH79" s="46">
        <f t="shared" ref="AH79" si="188">AVERAGE(AE79:AG79)</f>
        <v>1765.841253112156</v>
      </c>
      <c r="AI79" s="46">
        <f t="shared" ref="AI79" si="189">AVERAGE(AF79:AH79)</f>
        <v>1697.8733658825938</v>
      </c>
      <c r="AJ79" s="46">
        <f t="shared" ref="AJ79" si="190">AVERAGE(AG79:AI79)</f>
        <v>1727.6274610615039</v>
      </c>
      <c r="AK79" s="46">
        <f t="shared" ref="AK79" si="191">AVERAGE(AH79:AJ79)</f>
        <v>1730.4473600187512</v>
      </c>
      <c r="AL79" s="46">
        <f t="shared" ref="AL79" si="192">AVERAGE(AI79:AK79)</f>
        <v>1718.6493956542829</v>
      </c>
      <c r="AM79" s="46">
        <f t="shared" ref="AM79" si="193">AVERAGE(AJ79:AL79)</f>
        <v>1725.5747389115124</v>
      </c>
      <c r="AN79" s="46">
        <f t="shared" ref="AN79" si="194">AVERAGE(AK79:AM79)</f>
        <v>1724.8904981948488</v>
      </c>
      <c r="AO79" s="30">
        <f t="shared" si="89"/>
        <v>20244.51615840886</v>
      </c>
      <c r="AP79" s="28">
        <f t="shared" si="93"/>
        <v>24202.714363574643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1:62" ht="15.75" customHeight="1" outlineLevel="1">
      <c r="A80" s="28" t="str">
        <f t="shared" si="97"/>
        <v>На сумму</v>
      </c>
      <c r="B80" s="30">
        <f t="shared" si="121"/>
        <v>0</v>
      </c>
      <c r="C80" s="30">
        <f>C79*$C$35</f>
        <v>1624050.0000000002</v>
      </c>
      <c r="D80" s="30">
        <f t="shared" ref="C80:F80" si="195">D79*$C$35</f>
        <v>1624050.0000000002</v>
      </c>
      <c r="E80" s="30">
        <f t="shared" si="195"/>
        <v>1624050.0000000002</v>
      </c>
      <c r="F80" s="47">
        <f t="shared" si="195"/>
        <v>1624050.0000000002</v>
      </c>
      <c r="G80" s="47">
        <f t="shared" ref="G80" si="196">G79*$C$35</f>
        <v>1624050.0000000002</v>
      </c>
      <c r="H80" s="47">
        <f t="shared" ref="H80" si="197">H79*$C$35</f>
        <v>1948860.0000000002</v>
      </c>
      <c r="I80" s="47">
        <f t="shared" ref="I80" si="198">I79*$C$35</f>
        <v>1948860.0000000002</v>
      </c>
      <c r="J80" s="47">
        <f t="shared" ref="J80" si="199">J79*$C$35</f>
        <v>2338632</v>
      </c>
      <c r="K80" s="47">
        <f t="shared" ref="K80" si="200">K79*$C$35</f>
        <v>2338632</v>
      </c>
      <c r="L80" s="47">
        <f>L79*$C$35</f>
        <v>2455563.6</v>
      </c>
      <c r="M80" s="47">
        <f t="shared" ref="M80" si="201">M79*$C$35</f>
        <v>2578341.7800000003</v>
      </c>
      <c r="N80" s="47">
        <f t="shared" ref="N80:AN80" si="202">N79*$C$35</f>
        <v>2707258.8690000004</v>
      </c>
      <c r="O80" s="30">
        <f t="shared" si="86"/>
        <v>24436398.249000002</v>
      </c>
      <c r="P80" s="47">
        <f t="shared" si="202"/>
        <v>3854931.696</v>
      </c>
      <c r="Q80" s="47">
        <f t="shared" si="202"/>
        <v>4240424.8656000001</v>
      </c>
      <c r="R80" s="47">
        <f t="shared" si="202"/>
        <v>4664467.3521600012</v>
      </c>
      <c r="S80" s="47">
        <f t="shared" si="202"/>
        <v>5130914.0873760013</v>
      </c>
      <c r="T80" s="47">
        <f t="shared" si="202"/>
        <v>5644005.4961136021</v>
      </c>
      <c r="U80" s="47">
        <f t="shared" si="202"/>
        <v>6208406.0457249628</v>
      </c>
      <c r="V80" s="47">
        <f t="shared" si="202"/>
        <v>6829246.6502974592</v>
      </c>
      <c r="W80" s="47">
        <f t="shared" si="202"/>
        <v>7512171.3153272066</v>
      </c>
      <c r="X80" s="47">
        <f t="shared" si="202"/>
        <v>8263388.4468599278</v>
      </c>
      <c r="Y80" s="47">
        <f t="shared" si="202"/>
        <v>9089727.2915459219</v>
      </c>
      <c r="Z80" s="47">
        <f t="shared" si="202"/>
        <v>9998700.0207005143</v>
      </c>
      <c r="AA80" s="47">
        <f t="shared" si="202"/>
        <v>10998570.022770567</v>
      </c>
      <c r="AB80" s="28">
        <f t="shared" si="92"/>
        <v>82434953.290476158</v>
      </c>
      <c r="AC80" s="47">
        <f t="shared" si="202"/>
        <v>34477407.777982414</v>
      </c>
      <c r="AD80" s="47">
        <f t="shared" si="202"/>
        <v>42636977.030409709</v>
      </c>
      <c r="AE80" s="47">
        <f t="shared" si="202"/>
        <v>53183112.699622758</v>
      </c>
      <c r="AF80" s="47">
        <f t="shared" si="202"/>
        <v>43432499.169338286</v>
      </c>
      <c r="AG80" s="47">
        <f t="shared" si="202"/>
        <v>46417529.633123584</v>
      </c>
      <c r="AH80" s="47">
        <f t="shared" si="202"/>
        <v>47677713.834028214</v>
      </c>
      <c r="AI80" s="47">
        <f t="shared" si="202"/>
        <v>45842580.878830031</v>
      </c>
      <c r="AJ80" s="47">
        <f t="shared" si="202"/>
        <v>46645941.448660605</v>
      </c>
      <c r="AK80" s="47">
        <f t="shared" si="202"/>
        <v>46722078.720506281</v>
      </c>
      <c r="AL80" s="47">
        <f t="shared" si="202"/>
        <v>46403533.682665639</v>
      </c>
      <c r="AM80" s="47">
        <f t="shared" si="202"/>
        <v>46590517.950610839</v>
      </c>
      <c r="AN80" s="47">
        <f t="shared" si="202"/>
        <v>46572043.451260917</v>
      </c>
      <c r="AO80" s="30">
        <f t="shared" si="89"/>
        <v>546601936.27703929</v>
      </c>
      <c r="AP80" s="28">
        <f t="shared" si="93"/>
        <v>653473287.81651545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</row>
    <row r="81" spans="1:62" ht="15.75" customHeight="1" outlineLevel="1">
      <c r="A81" s="28" t="str">
        <f t="shared" si="97"/>
        <v>Группа товара 9 (https://www.wildberries.ru/catalog/34146829/detail.aspx) - https://www.alibaba.com/product-detail/Ice-Silk-Thongs-For-Women-Panties_1600566805992.html?spm=a2700.picsearch.offer-list.13.74855f93M24CQI</v>
      </c>
      <c r="B81" s="30">
        <f t="shared" si="121"/>
        <v>0</v>
      </c>
      <c r="C81" s="49">
        <f>B57</f>
        <v>79.800000000000011</v>
      </c>
      <c r="D81" s="28">
        <f>D57*0.5</f>
        <v>79.800000000000011</v>
      </c>
      <c r="E81" s="28">
        <f>D81</f>
        <v>79.800000000000011</v>
      </c>
      <c r="F81" s="28">
        <f>F57*0.5</f>
        <v>79.800000000000011</v>
      </c>
      <c r="G81" s="28">
        <f>F81</f>
        <v>79.800000000000011</v>
      </c>
      <c r="H81" s="28">
        <f>H57*0.5</f>
        <v>95.76</v>
      </c>
      <c r="I81" s="28">
        <f>H81</f>
        <v>95.76</v>
      </c>
      <c r="J81" s="28">
        <f>J57*0.5</f>
        <v>114.91200000000001</v>
      </c>
      <c r="K81" s="28">
        <f>J81</f>
        <v>114.91200000000001</v>
      </c>
      <c r="L81" s="28">
        <f t="shared" si="85"/>
        <v>120.65760000000002</v>
      </c>
      <c r="M81" s="28">
        <f t="shared" si="85"/>
        <v>126.69048000000002</v>
      </c>
      <c r="N81" s="28">
        <f t="shared" si="85"/>
        <v>133.02500400000002</v>
      </c>
      <c r="O81" s="30">
        <f t="shared" si="86"/>
        <v>1200.7170840000003</v>
      </c>
      <c r="P81" s="46">
        <f>P57*0.7</f>
        <v>189.41753600000001</v>
      </c>
      <c r="Q81" s="28">
        <f>P81*1.1</f>
        <v>208.35928960000004</v>
      </c>
      <c r="R81" s="28">
        <f t="shared" si="87"/>
        <v>229.19521856000006</v>
      </c>
      <c r="S81" s="28">
        <f t="shared" si="87"/>
        <v>252.11474041600007</v>
      </c>
      <c r="T81" s="28">
        <f t="shared" si="87"/>
        <v>277.32621445760009</v>
      </c>
      <c r="U81" s="28">
        <f t="shared" si="87"/>
        <v>305.05883590336015</v>
      </c>
      <c r="V81" s="28">
        <f t="shared" si="87"/>
        <v>335.5647194936962</v>
      </c>
      <c r="W81" s="28">
        <f t="shared" si="87"/>
        <v>369.12119144306587</v>
      </c>
      <c r="X81" s="28">
        <f t="shared" si="87"/>
        <v>406.03331058737251</v>
      </c>
      <c r="Y81" s="28">
        <f t="shared" si="87"/>
        <v>446.63664164610981</v>
      </c>
      <c r="Z81" s="28">
        <f t="shared" si="87"/>
        <v>491.30030581072083</v>
      </c>
      <c r="AA81" s="28">
        <f t="shared" si="87"/>
        <v>540.43033639179293</v>
      </c>
      <c r="AB81" s="28">
        <f t="shared" si="92"/>
        <v>4050.5583403097185</v>
      </c>
      <c r="AC81" s="46">
        <f t="shared" ref="AC81" si="203">AVERAGE(Z81:AB81)</f>
        <v>1694.0963275040774</v>
      </c>
      <c r="AD81" s="46">
        <f t="shared" ref="AD81" si="204">AVERAGE(AA81:AC81)</f>
        <v>2095.0283347351965</v>
      </c>
      <c r="AE81" s="46">
        <f t="shared" ref="AE81" si="205">AVERAGE(AB81:AD81)</f>
        <v>2613.2276675163307</v>
      </c>
      <c r="AF81" s="46">
        <f t="shared" ref="AF81" si="206">AVERAGE(AC81:AE81)</f>
        <v>2134.1174432518678</v>
      </c>
      <c r="AG81" s="46">
        <f t="shared" ref="AG81" si="207">AVERAGE(AD81:AF81)</f>
        <v>2280.7911485011318</v>
      </c>
      <c r="AH81" s="46">
        <f t="shared" ref="AH81" si="208">AVERAGE(AE81:AG81)</f>
        <v>2342.7120864231101</v>
      </c>
      <c r="AI81" s="46">
        <f t="shared" ref="AI81" si="209">AVERAGE(AF81:AH81)</f>
        <v>2252.540226058703</v>
      </c>
      <c r="AJ81" s="46">
        <f t="shared" ref="AJ81" si="210">AVERAGE(AG81:AI81)</f>
        <v>2292.0144869943147</v>
      </c>
      <c r="AK81" s="46">
        <f t="shared" ref="AK81" si="211">AVERAGE(AH81:AJ81)</f>
        <v>2295.7555998253756</v>
      </c>
      <c r="AL81" s="46">
        <f t="shared" ref="AL81" si="212">AVERAGE(AI81:AK81)</f>
        <v>2280.1034376261309</v>
      </c>
      <c r="AM81" s="46">
        <f t="shared" ref="AM81" si="213">AVERAGE(AJ81:AL81)</f>
        <v>2289.2911748152733</v>
      </c>
      <c r="AN81" s="46">
        <f t="shared" ref="AN81" si="214">AVERAGE(AK81:AM81)</f>
        <v>2288.3834040889265</v>
      </c>
      <c r="AO81" s="30">
        <f t="shared" si="89"/>
        <v>26858.061337340438</v>
      </c>
      <c r="AP81" s="28">
        <f t="shared" si="93"/>
        <v>32109.336761650156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</row>
    <row r="82" spans="1:62" ht="15.75" customHeight="1" outlineLevel="1">
      <c r="A82" s="28" t="str">
        <f t="shared" si="97"/>
        <v>На сумму</v>
      </c>
      <c r="B82" s="30">
        <f t="shared" si="121"/>
        <v>0</v>
      </c>
      <c r="C82" s="30">
        <f>C81*$C$36</f>
        <v>430920.00000000006</v>
      </c>
      <c r="D82" s="30">
        <f t="shared" ref="C82:F82" si="215">D81*$C$36</f>
        <v>430920.00000000006</v>
      </c>
      <c r="E82" s="30">
        <f t="shared" si="215"/>
        <v>430920.00000000006</v>
      </c>
      <c r="F82" s="47">
        <f t="shared" si="215"/>
        <v>430920.00000000006</v>
      </c>
      <c r="G82" s="47">
        <f t="shared" ref="G82" si="216">G81*$C$36</f>
        <v>430920.00000000006</v>
      </c>
      <c r="H82" s="47">
        <f t="shared" ref="H82" si="217">H81*$C$36</f>
        <v>517104</v>
      </c>
      <c r="I82" s="47">
        <f t="shared" ref="I82" si="218">I81*$C$36</f>
        <v>517104</v>
      </c>
      <c r="J82" s="47">
        <f t="shared" ref="J82" si="219">J81*$C$36</f>
        <v>620524.80000000005</v>
      </c>
      <c r="K82" s="47">
        <f t="shared" ref="K82" si="220">K81*$C$36</f>
        <v>620524.80000000005</v>
      </c>
      <c r="L82" s="47">
        <f t="shared" ref="L82" si="221">L81*$C$36</f>
        <v>651551.04</v>
      </c>
      <c r="M82" s="47">
        <f t="shared" ref="M82" si="222">M81*$C$36</f>
        <v>684128.59200000006</v>
      </c>
      <c r="N82" s="47">
        <f t="shared" ref="N82:AN82" si="223">N81*$C$36</f>
        <v>718335.02160000009</v>
      </c>
      <c r="O82" s="30">
        <f t="shared" si="86"/>
        <v>6483872.2536000013</v>
      </c>
      <c r="P82" s="47">
        <f t="shared" si="223"/>
        <v>1022854.6944</v>
      </c>
      <c r="Q82" s="47">
        <f t="shared" si="223"/>
        <v>1125140.1638400003</v>
      </c>
      <c r="R82" s="47">
        <f t="shared" si="223"/>
        <v>1237654.1802240002</v>
      </c>
      <c r="S82" s="47">
        <f t="shared" si="223"/>
        <v>1361419.5982464005</v>
      </c>
      <c r="T82" s="47">
        <f t="shared" si="223"/>
        <v>1497561.5580710405</v>
      </c>
      <c r="U82" s="47">
        <f t="shared" si="223"/>
        <v>1647317.7138781447</v>
      </c>
      <c r="V82" s="47">
        <f t="shared" si="223"/>
        <v>1812049.4852659595</v>
      </c>
      <c r="W82" s="47">
        <f t="shared" si="223"/>
        <v>1993254.4337925557</v>
      </c>
      <c r="X82" s="47">
        <f t="shared" si="223"/>
        <v>2192579.8771718116</v>
      </c>
      <c r="Y82" s="47">
        <f t="shared" si="223"/>
        <v>2411837.8648889931</v>
      </c>
      <c r="Z82" s="47">
        <f t="shared" si="223"/>
        <v>2653021.6513778926</v>
      </c>
      <c r="AA82" s="47">
        <f t="shared" si="223"/>
        <v>2918323.8165156818</v>
      </c>
      <c r="AB82" s="28">
        <f t="shared" si="92"/>
        <v>21873015.037672479</v>
      </c>
      <c r="AC82" s="47">
        <f t="shared" si="223"/>
        <v>9148120.1685220171</v>
      </c>
      <c r="AD82" s="47">
        <f t="shared" si="223"/>
        <v>11313153.007570062</v>
      </c>
      <c r="AE82" s="47">
        <f t="shared" si="223"/>
        <v>14111429.404588185</v>
      </c>
      <c r="AF82" s="47">
        <f t="shared" si="223"/>
        <v>11524234.193560086</v>
      </c>
      <c r="AG82" s="47">
        <f t="shared" si="223"/>
        <v>12316272.201906111</v>
      </c>
      <c r="AH82" s="47">
        <f t="shared" si="223"/>
        <v>12650645.266684795</v>
      </c>
      <c r="AI82" s="47">
        <f t="shared" si="223"/>
        <v>12163717.220716996</v>
      </c>
      <c r="AJ82" s="47">
        <f t="shared" si="223"/>
        <v>12376878.229769299</v>
      </c>
      <c r="AK82" s="47">
        <f t="shared" si="223"/>
        <v>12397080.239057029</v>
      </c>
      <c r="AL82" s="47">
        <f t="shared" si="223"/>
        <v>12312558.563181108</v>
      </c>
      <c r="AM82" s="47">
        <f t="shared" si="223"/>
        <v>12362172.344002476</v>
      </c>
      <c r="AN82" s="47">
        <f t="shared" si="223"/>
        <v>12357270.382080203</v>
      </c>
      <c r="AO82" s="30">
        <f t="shared" si="89"/>
        <v>145033531.22163838</v>
      </c>
      <c r="AP82" s="28">
        <f t="shared" si="93"/>
        <v>173390418.51291087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</row>
    <row r="83" spans="1:62" ht="15.75" customHeight="1" outlineLevel="1">
      <c r="A83" s="28" t="str">
        <f t="shared" si="97"/>
        <v>Группа товара 10 (https://www.wildberries.ru/catalog/111931264/detail.aspx) - https://www.alibaba.com/product-detail/Hot-selling-pregnant-women-after-delivery_1600342740387.html?spm=a2700.picsearch.offer-list.13.17ab5f935QEmHm</v>
      </c>
      <c r="B83" s="30">
        <f t="shared" si="121"/>
        <v>0</v>
      </c>
      <c r="C83" s="49">
        <f>B59</f>
        <v>224.55</v>
      </c>
      <c r="D83" s="28">
        <f>D59*0.5</f>
        <v>224.55</v>
      </c>
      <c r="E83" s="28">
        <f>D83</f>
        <v>224.55</v>
      </c>
      <c r="F83" s="28">
        <f>F59*0.5</f>
        <v>224.55</v>
      </c>
      <c r="G83" s="28">
        <f>F83</f>
        <v>224.55</v>
      </c>
      <c r="H83" s="28">
        <f>H59*0.5</f>
        <v>269.45999999999998</v>
      </c>
      <c r="I83" s="28">
        <f>H83</f>
        <v>269.45999999999998</v>
      </c>
      <c r="J83" s="28">
        <f>J59*0.5</f>
        <v>323.35199999999998</v>
      </c>
      <c r="K83" s="28">
        <f>J83</f>
        <v>323.35199999999998</v>
      </c>
      <c r="L83" s="28">
        <f t="shared" si="85"/>
        <v>339.51959999999997</v>
      </c>
      <c r="M83" s="28">
        <f t="shared" si="85"/>
        <v>356.49557999999996</v>
      </c>
      <c r="N83" s="28">
        <f t="shared" si="85"/>
        <v>374.320359</v>
      </c>
      <c r="O83" s="30">
        <f>SUM(B83:N83)</f>
        <v>3378.7095389999995</v>
      </c>
      <c r="P83" s="46">
        <f>P59*0.7</f>
        <v>533.00385599999993</v>
      </c>
      <c r="Q83" s="28">
        <f>P83*1.1</f>
        <v>586.30424159999995</v>
      </c>
      <c r="R83" s="28">
        <f t="shared" si="87"/>
        <v>644.93466576000003</v>
      </c>
      <c r="S83" s="28">
        <f t="shared" si="87"/>
        <v>709.42813233600009</v>
      </c>
      <c r="T83" s="28">
        <f t="shared" si="87"/>
        <v>780.37094556960017</v>
      </c>
      <c r="U83" s="28">
        <f t="shared" si="87"/>
        <v>858.40804012656031</v>
      </c>
      <c r="V83" s="28">
        <f t="shared" si="87"/>
        <v>944.24884413921643</v>
      </c>
      <c r="W83" s="28">
        <f t="shared" si="87"/>
        <v>1038.6737285531381</v>
      </c>
      <c r="X83" s="28">
        <f t="shared" si="87"/>
        <v>1142.5411014084521</v>
      </c>
      <c r="Y83" s="28">
        <f t="shared" si="87"/>
        <v>1256.7952115492974</v>
      </c>
      <c r="Z83" s="28">
        <f t="shared" si="87"/>
        <v>1382.4747327042273</v>
      </c>
      <c r="AA83" s="28">
        <f t="shared" si="87"/>
        <v>1520.7222059746503</v>
      </c>
      <c r="AB83" s="28">
        <f t="shared" si="92"/>
        <v>11397.905705721143</v>
      </c>
      <c r="AC83" s="46">
        <f t="shared" ref="AC83" si="224">AVERAGE(Z83:AB83)</f>
        <v>4767.0342148000063</v>
      </c>
      <c r="AD83" s="46">
        <f t="shared" ref="AD83" si="225">AVERAGE(AA83:AC83)</f>
        <v>5895.2207088319337</v>
      </c>
      <c r="AE83" s="46">
        <f t="shared" ref="AE83" si="226">AVERAGE(AB83:AD83)</f>
        <v>7353.3868764510271</v>
      </c>
      <c r="AF83" s="46">
        <f t="shared" ref="AF83" si="227">AVERAGE(AC83:AE83)</f>
        <v>6005.2139333609884</v>
      </c>
      <c r="AG83" s="46">
        <f t="shared" ref="AG83" si="228">AVERAGE(AD83:AF83)</f>
        <v>6417.9405062146498</v>
      </c>
      <c r="AH83" s="46">
        <f t="shared" ref="AH83" si="229">AVERAGE(AE83:AG83)</f>
        <v>6592.1804386755548</v>
      </c>
      <c r="AI83" s="46">
        <f t="shared" ref="AI83" si="230">AVERAGE(AF83:AH83)</f>
        <v>6338.4449594170646</v>
      </c>
      <c r="AJ83" s="46">
        <f t="shared" ref="AJ83" si="231">AVERAGE(AG83:AI83)</f>
        <v>6449.5219681024237</v>
      </c>
      <c r="AK83" s="46">
        <f t="shared" ref="AK83" si="232">AVERAGE(AH83:AJ83)</f>
        <v>6460.0491220650147</v>
      </c>
      <c r="AL83" s="46">
        <f t="shared" ref="AL83" si="233">AVERAGE(AI83:AK83)</f>
        <v>6416.0053498615016</v>
      </c>
      <c r="AM83" s="46">
        <f t="shared" ref="AM83" si="234">AVERAGE(AJ83:AL83)</f>
        <v>6441.8588133429803</v>
      </c>
      <c r="AN83" s="46">
        <f t="shared" ref="AN83" si="235">AVERAGE(AK83:AM83)</f>
        <v>6439.3044284231655</v>
      </c>
      <c r="AO83" s="30">
        <f t="shared" si="89"/>
        <v>75576.161319546314</v>
      </c>
      <c r="AP83" s="28">
        <f t="shared" si="93"/>
        <v>90352.776564267464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</row>
    <row r="84" spans="1:62" ht="15.75" customHeight="1" outlineLevel="1">
      <c r="A84" s="28" t="str">
        <f t="shared" si="97"/>
        <v>На сумму</v>
      </c>
      <c r="B84" s="30">
        <f t="shared" si="121"/>
        <v>0</v>
      </c>
      <c r="C84" s="30">
        <f>C83*$C$37</f>
        <v>1818855</v>
      </c>
      <c r="D84" s="30">
        <f t="shared" ref="C84:F84" si="236">D83*$C$37</f>
        <v>1818855</v>
      </c>
      <c r="E84" s="30">
        <f t="shared" si="236"/>
        <v>1818855</v>
      </c>
      <c r="F84" s="47">
        <f t="shared" si="236"/>
        <v>1818855</v>
      </c>
      <c r="G84" s="47">
        <f t="shared" ref="G84" si="237">G83*$C$37</f>
        <v>1818855</v>
      </c>
      <c r="H84" s="47">
        <f t="shared" ref="H84" si="238">H83*$C$37</f>
        <v>2182626</v>
      </c>
      <c r="I84" s="47">
        <f t="shared" ref="I84" si="239">I83*$C$37</f>
        <v>2182626</v>
      </c>
      <c r="J84" s="47">
        <f t="shared" ref="J84" si="240">J83*$C$37</f>
        <v>2619151.1999999997</v>
      </c>
      <c r="K84" s="47">
        <f t="shared" ref="K84" si="241">K83*$C$37</f>
        <v>2619151.1999999997</v>
      </c>
      <c r="L84" s="47">
        <f t="shared" ref="L84" si="242">L83*$C$37</f>
        <v>2750108.76</v>
      </c>
      <c r="M84" s="47">
        <f t="shared" ref="M84" si="243">M83*$C$37</f>
        <v>2887614.1979999999</v>
      </c>
      <c r="N84" s="47">
        <f t="shared" ref="N84:AN84" si="244">N83*$C$37</f>
        <v>3031994.9079</v>
      </c>
      <c r="O84" s="30">
        <f t="shared" si="86"/>
        <v>27367547.265899993</v>
      </c>
      <c r="P84" s="47">
        <f t="shared" si="244"/>
        <v>4317331.233599999</v>
      </c>
      <c r="Q84" s="47">
        <f t="shared" si="244"/>
        <v>4749064.3569599995</v>
      </c>
      <c r="R84" s="47">
        <f t="shared" si="244"/>
        <v>5223970.7926560007</v>
      </c>
      <c r="S84" s="47">
        <f t="shared" si="244"/>
        <v>5746367.8719216008</v>
      </c>
      <c r="T84" s="47">
        <f t="shared" si="244"/>
        <v>6321004.659113761</v>
      </c>
      <c r="U84" s="47">
        <f t="shared" si="244"/>
        <v>6953105.1250251383</v>
      </c>
      <c r="V84" s="47">
        <f t="shared" si="244"/>
        <v>7648415.637527653</v>
      </c>
      <c r="W84" s="47">
        <f t="shared" si="244"/>
        <v>8413257.2012804188</v>
      </c>
      <c r="X84" s="47">
        <f t="shared" si="244"/>
        <v>9254582.9214084614</v>
      </c>
      <c r="Y84" s="47">
        <f t="shared" si="244"/>
        <v>10180041.213549308</v>
      </c>
      <c r="Z84" s="47">
        <f t="shared" si="244"/>
        <v>11198045.334904242</v>
      </c>
      <c r="AA84" s="47">
        <f t="shared" si="244"/>
        <v>12317849.868394667</v>
      </c>
      <c r="AB84" s="28">
        <f t="shared" si="92"/>
        <v>92323036.216341242</v>
      </c>
      <c r="AC84" s="47">
        <f t="shared" si="244"/>
        <v>38612977.139880054</v>
      </c>
      <c r="AD84" s="47">
        <f t="shared" si="244"/>
        <v>47751287.741538666</v>
      </c>
      <c r="AE84" s="47">
        <f t="shared" si="244"/>
        <v>59562433.699253321</v>
      </c>
      <c r="AF84" s="47">
        <f t="shared" si="244"/>
        <v>48642232.860224009</v>
      </c>
      <c r="AG84" s="47">
        <f t="shared" si="244"/>
        <v>51985318.10033866</v>
      </c>
      <c r="AH84" s="47">
        <f t="shared" si="244"/>
        <v>53396661.553271994</v>
      </c>
      <c r="AI84" s="47">
        <f t="shared" si="244"/>
        <v>51341404.171278223</v>
      </c>
      <c r="AJ84" s="47">
        <f t="shared" si="244"/>
        <v>52241127.941629633</v>
      </c>
      <c r="AK84" s="47">
        <f t="shared" si="244"/>
        <v>52326397.888726622</v>
      </c>
      <c r="AL84" s="47">
        <f t="shared" si="244"/>
        <v>51969643.33387816</v>
      </c>
      <c r="AM84" s="47">
        <f t="shared" si="244"/>
        <v>52179056.388078138</v>
      </c>
      <c r="AN84" s="47">
        <f t="shared" si="244"/>
        <v>52158365.870227642</v>
      </c>
      <c r="AO84" s="30">
        <f t="shared" si="89"/>
        <v>612166906.68832517</v>
      </c>
      <c r="AP84" s="28">
        <f t="shared" si="93"/>
        <v>731857490.17056644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</row>
    <row r="85" spans="1:62" ht="15.75" customHeight="1" outlineLevel="1">
      <c r="A85" s="28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</row>
    <row r="86" spans="1:62" ht="15.75" customHeight="1" outlineLevel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</row>
    <row r="87" spans="1:62" ht="22.8">
      <c r="A87" s="8" t="s">
        <v>62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</row>
    <row r="88" spans="1:62" ht="22.8">
      <c r="A88" s="43" t="s">
        <v>63</v>
      </c>
      <c r="B88" s="38"/>
      <c r="C88" s="38">
        <f t="shared" ref="C88:N88" si="245">C89+C90+C91</f>
        <v>5297487</v>
      </c>
      <c r="D88" s="38">
        <f t="shared" si="245"/>
        <v>5297487</v>
      </c>
      <c r="E88" s="38">
        <f t="shared" si="245"/>
        <v>5297487</v>
      </c>
      <c r="F88" s="38">
        <f t="shared" si="245"/>
        <v>5297487</v>
      </c>
      <c r="G88" s="38">
        <f t="shared" si="245"/>
        <v>5297487</v>
      </c>
      <c r="H88" s="38">
        <f t="shared" si="245"/>
        <v>6356984.4000000004</v>
      </c>
      <c r="I88" s="38">
        <f t="shared" si="245"/>
        <v>6356984.4000000004</v>
      </c>
      <c r="J88" s="38">
        <f t="shared" si="245"/>
        <v>7628381.2799999993</v>
      </c>
      <c r="K88" s="38">
        <f t="shared" si="245"/>
        <v>7628381.2799999993</v>
      </c>
      <c r="L88" s="38">
        <f t="shared" si="245"/>
        <v>8009800.3439999996</v>
      </c>
      <c r="M88" s="38">
        <f t="shared" si="245"/>
        <v>8410290.3612000011</v>
      </c>
      <c r="N88" s="38">
        <f t="shared" si="245"/>
        <v>8830804.8792600017</v>
      </c>
      <c r="O88" s="38">
        <f>SUM(C88:N88)</f>
        <v>79709061.944460005</v>
      </c>
      <c r="P88" s="38">
        <f>P89+P90+P91</f>
        <v>2139706.0608000001</v>
      </c>
      <c r="Q88" s="38">
        <f t="shared" ref="Q88:AA88" si="246">Q89+Q90+Q91</f>
        <v>2353676.6668800004</v>
      </c>
      <c r="R88" s="38">
        <f t="shared" si="246"/>
        <v>2589044.3335680007</v>
      </c>
      <c r="S88" s="38">
        <f t="shared" si="246"/>
        <v>2847948.7669248008</v>
      </c>
      <c r="T88" s="38">
        <f t="shared" si="246"/>
        <v>3132743.6436172812</v>
      </c>
      <c r="U88" s="38">
        <f t="shared" si="246"/>
        <v>3446018.0079790098</v>
      </c>
      <c r="V88" s="38">
        <f t="shared" si="246"/>
        <v>3790619.8087769109</v>
      </c>
      <c r="W88" s="38">
        <f t="shared" si="246"/>
        <v>4169681.7896546023</v>
      </c>
      <c r="X88" s="38">
        <f t="shared" si="246"/>
        <v>4586649.9686200628</v>
      </c>
      <c r="Y88" s="38">
        <f t="shared" si="246"/>
        <v>5045314.9654820692</v>
      </c>
      <c r="Z88" s="38">
        <f t="shared" si="246"/>
        <v>5549846.4620302776</v>
      </c>
      <c r="AA88" s="38">
        <f t="shared" si="246"/>
        <v>6104831.1082333047</v>
      </c>
      <c r="AB88" s="38">
        <f>SUM(P88:AA88)</f>
        <v>45756081.582566313</v>
      </c>
      <c r="AC88" s="38">
        <f t="shared" ref="AC88:AN88" si="247">AC89+AC90+AC91</f>
        <v>3486282.9170400002</v>
      </c>
      <c r="AD88" s="38">
        <f t="shared" si="247"/>
        <v>3744648.5656099999</v>
      </c>
      <c r="AE88" s="38">
        <f t="shared" si="247"/>
        <v>3873872.6198200006</v>
      </c>
      <c r="AF88" s="38">
        <f t="shared" si="247"/>
        <v>3960000</v>
      </c>
      <c r="AG88" s="38">
        <f t="shared" si="247"/>
        <v>3960000</v>
      </c>
      <c r="AH88" s="38">
        <f t="shared" si="247"/>
        <v>3960000</v>
      </c>
      <c r="AI88" s="38">
        <f t="shared" si="247"/>
        <v>3960000</v>
      </c>
      <c r="AJ88" s="38">
        <f t="shared" si="247"/>
        <v>3960000</v>
      </c>
      <c r="AK88" s="38">
        <f t="shared" si="247"/>
        <v>3960000</v>
      </c>
      <c r="AL88" s="38">
        <f t="shared" si="247"/>
        <v>3960000</v>
      </c>
      <c r="AM88" s="38">
        <f t="shared" si="247"/>
        <v>3960000</v>
      </c>
      <c r="AN88" s="38">
        <f t="shared" si="247"/>
        <v>3960000</v>
      </c>
      <c r="AO88" s="38">
        <f>SUM(AC88:AN88)</f>
        <v>46744804.102470003</v>
      </c>
      <c r="AP88" s="38">
        <f>AO88+AB88+O88</f>
        <v>172209947.62949634</v>
      </c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62" ht="15.75" customHeight="1" outlineLevel="1">
      <c r="A89" s="28" t="s">
        <v>64</v>
      </c>
      <c r="B89" s="28"/>
      <c r="C89" s="28">
        <f>C64</f>
        <v>5297487</v>
      </c>
      <c r="D89" s="28">
        <f t="shared" ref="D89:AP89" si="248">D64</f>
        <v>5297487</v>
      </c>
      <c r="E89" s="28">
        <f t="shared" si="248"/>
        <v>5297487</v>
      </c>
      <c r="F89" s="28">
        <f t="shared" si="248"/>
        <v>5297487</v>
      </c>
      <c r="G89" s="28">
        <f t="shared" si="248"/>
        <v>5297487</v>
      </c>
      <c r="H89" s="28">
        <f t="shared" si="248"/>
        <v>6356984.4000000004</v>
      </c>
      <c r="I89" s="28">
        <f t="shared" si="248"/>
        <v>6356984.4000000004</v>
      </c>
      <c r="J89" s="28">
        <f t="shared" si="248"/>
        <v>7628381.2799999993</v>
      </c>
      <c r="K89" s="28">
        <f t="shared" si="248"/>
        <v>7628381.2799999993</v>
      </c>
      <c r="L89" s="28">
        <f t="shared" si="248"/>
        <v>8009800.3439999996</v>
      </c>
      <c r="M89" s="28">
        <f t="shared" si="248"/>
        <v>8410290.3612000011</v>
      </c>
      <c r="N89" s="28">
        <f t="shared" si="248"/>
        <v>8830804.8792600017</v>
      </c>
      <c r="O89" s="30">
        <f t="shared" si="248"/>
        <v>79709061.944460005</v>
      </c>
      <c r="P89" s="28">
        <f t="shared" si="248"/>
        <v>2139706.0608000001</v>
      </c>
      <c r="Q89" s="28">
        <f t="shared" si="248"/>
        <v>2353676.6668800004</v>
      </c>
      <c r="R89" s="28">
        <f t="shared" si="248"/>
        <v>2589044.3335680007</v>
      </c>
      <c r="S89" s="28">
        <f t="shared" si="248"/>
        <v>2847948.7669248008</v>
      </c>
      <c r="T89" s="28">
        <f t="shared" si="248"/>
        <v>3132743.6436172812</v>
      </c>
      <c r="U89" s="28">
        <f t="shared" si="248"/>
        <v>3446018.0079790098</v>
      </c>
      <c r="V89" s="28">
        <f t="shared" si="248"/>
        <v>3790619.8087769109</v>
      </c>
      <c r="W89" s="28">
        <f t="shared" si="248"/>
        <v>4169681.7896546023</v>
      </c>
      <c r="X89" s="28">
        <f t="shared" si="248"/>
        <v>4586649.9686200628</v>
      </c>
      <c r="Y89" s="28">
        <f t="shared" si="248"/>
        <v>5045314.9654820692</v>
      </c>
      <c r="Z89" s="28">
        <f t="shared" si="248"/>
        <v>5549846.4620302776</v>
      </c>
      <c r="AA89" s="28">
        <f t="shared" si="248"/>
        <v>6104831.1082333047</v>
      </c>
      <c r="AB89" s="30">
        <f t="shared" si="248"/>
        <v>45756081.582566321</v>
      </c>
      <c r="AC89" s="28">
        <f t="shared" si="248"/>
        <v>3486282.9170400002</v>
      </c>
      <c r="AD89" s="28">
        <f t="shared" si="248"/>
        <v>3744648.5656099999</v>
      </c>
      <c r="AE89" s="28">
        <f t="shared" si="248"/>
        <v>3873872.6198200006</v>
      </c>
      <c r="AF89" s="28">
        <f t="shared" si="248"/>
        <v>3960000</v>
      </c>
      <c r="AG89" s="28">
        <f t="shared" si="248"/>
        <v>3960000</v>
      </c>
      <c r="AH89" s="28">
        <f t="shared" si="248"/>
        <v>3960000</v>
      </c>
      <c r="AI89" s="28">
        <f t="shared" si="248"/>
        <v>3960000</v>
      </c>
      <c r="AJ89" s="28">
        <f t="shared" si="248"/>
        <v>3960000</v>
      </c>
      <c r="AK89" s="28">
        <f t="shared" si="248"/>
        <v>3960000</v>
      </c>
      <c r="AL89" s="28">
        <f t="shared" si="248"/>
        <v>3960000</v>
      </c>
      <c r="AM89" s="28">
        <f t="shared" si="248"/>
        <v>3960000</v>
      </c>
      <c r="AN89" s="28">
        <f t="shared" si="248"/>
        <v>3960000</v>
      </c>
      <c r="AO89" s="28">
        <f t="shared" si="248"/>
        <v>46744804.102470003</v>
      </c>
      <c r="AP89" s="28">
        <f t="shared" si="248"/>
        <v>172209947.62949634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</row>
    <row r="90" spans="1:62" ht="15.75" customHeight="1" outlineLevel="1">
      <c r="A90" s="28" t="s">
        <v>65</v>
      </c>
      <c r="B90" s="28"/>
      <c r="C90" s="28">
        <f t="shared" ref="C90:H90" si="249">-$H$7*C89</f>
        <v>0</v>
      </c>
      <c r="D90" s="28">
        <f t="shared" si="249"/>
        <v>0</v>
      </c>
      <c r="E90" s="28">
        <f t="shared" si="249"/>
        <v>0</v>
      </c>
      <c r="F90" s="28">
        <f t="shared" si="249"/>
        <v>0</v>
      </c>
      <c r="G90" s="28">
        <f t="shared" si="249"/>
        <v>0</v>
      </c>
      <c r="H90" s="28">
        <f t="shared" si="249"/>
        <v>0</v>
      </c>
      <c r="I90" s="28">
        <f>H90</f>
        <v>0</v>
      </c>
      <c r="J90" s="28">
        <f t="shared" ref="J90:N90" si="250">I90</f>
        <v>0</v>
      </c>
      <c r="K90" s="28">
        <f t="shared" si="250"/>
        <v>0</v>
      </c>
      <c r="L90" s="28">
        <f t="shared" si="250"/>
        <v>0</v>
      </c>
      <c r="M90" s="28">
        <f t="shared" si="250"/>
        <v>0</v>
      </c>
      <c r="N90" s="28">
        <f t="shared" si="250"/>
        <v>0</v>
      </c>
      <c r="O90" s="30">
        <f>SUM(C90:N90)</f>
        <v>0</v>
      </c>
      <c r="P90" s="28">
        <v>0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30">
        <f t="shared" ref="AB90:AB91" si="251">SUM(P90:AA90)</f>
        <v>0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>
        <f t="shared" ref="AO90:AO91" si="252">SUM(AC90:AN90)</f>
        <v>0</v>
      </c>
      <c r="AP90" s="28">
        <f t="shared" ref="AP90:AP91" si="253">AB90+O90+AO90</f>
        <v>0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</row>
    <row r="91" spans="1:62" ht="15.75" customHeight="1" outlineLevel="1">
      <c r="A91" s="28" t="s">
        <v>12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0">
        <f>SUM(C91:N91)</f>
        <v>0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30">
        <f t="shared" si="251"/>
        <v>0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>
        <f t="shared" si="252"/>
        <v>0</v>
      </c>
      <c r="AP91" s="28">
        <f t="shared" si="253"/>
        <v>0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</row>
    <row r="92" spans="1:62" ht="15.75" customHeight="1" outlineLevel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</row>
    <row r="93" spans="1:62" ht="22.8">
      <c r="A93" s="43" t="s">
        <v>66</v>
      </c>
      <c r="B93" s="38"/>
      <c r="C93" s="38">
        <f t="shared" ref="C93:AO93" si="254">C94+C115</f>
        <v>3406625.7350000003</v>
      </c>
      <c r="D93" s="38">
        <f t="shared" si="254"/>
        <v>2552257.23</v>
      </c>
      <c r="E93" s="38">
        <f t="shared" si="254"/>
        <v>5276345.915</v>
      </c>
      <c r="F93" s="38">
        <f t="shared" si="254"/>
        <v>3161468.2350000003</v>
      </c>
      <c r="G93" s="38">
        <f t="shared" si="254"/>
        <v>5682486.585</v>
      </c>
      <c r="H93" s="38">
        <f t="shared" si="254"/>
        <v>3346880.2800000003</v>
      </c>
      <c r="I93" s="38">
        <f t="shared" si="254"/>
        <v>6453330.4340000004</v>
      </c>
      <c r="J93" s="38">
        <f t="shared" si="254"/>
        <v>2652502.7280000001</v>
      </c>
      <c r="K93" s="38">
        <f t="shared" si="254"/>
        <v>3981759.6696000001</v>
      </c>
      <c r="L93" s="38">
        <f t="shared" si="254"/>
        <v>2779561.0649999999</v>
      </c>
      <c r="M93" s="38">
        <f t="shared" si="254"/>
        <v>4444755.14793</v>
      </c>
      <c r="N93" s="38">
        <f t="shared" si="254"/>
        <v>2995608.8596305004</v>
      </c>
      <c r="O93" s="38">
        <f t="shared" si="254"/>
        <v>46733581.884160504</v>
      </c>
      <c r="P93" s="38">
        <f t="shared" si="254"/>
        <v>2499478.5574400001</v>
      </c>
      <c r="Q93" s="38">
        <f t="shared" si="254"/>
        <v>2699249.9210240003</v>
      </c>
      <c r="R93" s="38">
        <f t="shared" si="254"/>
        <v>3030179.5465984</v>
      </c>
      <c r="S93" s="38">
        <f t="shared" si="254"/>
        <v>3108587.0966758402</v>
      </c>
      <c r="T93" s="38">
        <f t="shared" si="254"/>
        <v>3171373.4960116912</v>
      </c>
      <c r="U93" s="38">
        <f t="shared" si="254"/>
        <v>3219722.8618176598</v>
      </c>
      <c r="V93" s="38">
        <f t="shared" si="254"/>
        <v>3283265.0009359596</v>
      </c>
      <c r="W93" s="38">
        <f t="shared" si="254"/>
        <v>3347982.4356002221</v>
      </c>
      <c r="X93" s="38">
        <f t="shared" si="254"/>
        <v>3421761.0729138446</v>
      </c>
      <c r="Y93" s="38">
        <f t="shared" si="254"/>
        <v>3501622.8443673621</v>
      </c>
      <c r="Z93" s="38">
        <f t="shared" si="254"/>
        <v>3590118.1577619649</v>
      </c>
      <c r="AA93" s="38">
        <f t="shared" si="254"/>
        <v>3687139.3200981617</v>
      </c>
      <c r="AB93" s="38">
        <f t="shared" si="254"/>
        <v>38560480.311245106</v>
      </c>
      <c r="AC93" s="38">
        <f t="shared" si="254"/>
        <v>3535043.9620139999</v>
      </c>
      <c r="AD93" s="38">
        <f t="shared" si="254"/>
        <v>3679298.1157989167</v>
      </c>
      <c r="AE93" s="38">
        <f t="shared" si="254"/>
        <v>3751448.2127328333</v>
      </c>
      <c r="AF93" s="38">
        <f t="shared" si="254"/>
        <v>3799536</v>
      </c>
      <c r="AG93" s="38">
        <f t="shared" si="254"/>
        <v>3799536</v>
      </c>
      <c r="AH93" s="38">
        <f t="shared" si="254"/>
        <v>3799536</v>
      </c>
      <c r="AI93" s="38">
        <f t="shared" si="254"/>
        <v>3799536</v>
      </c>
      <c r="AJ93" s="38">
        <f t="shared" si="254"/>
        <v>3799536</v>
      </c>
      <c r="AK93" s="38">
        <f t="shared" si="254"/>
        <v>3799536</v>
      </c>
      <c r="AL93" s="38">
        <f t="shared" si="254"/>
        <v>3799536</v>
      </c>
      <c r="AM93" s="38">
        <f t="shared" si="254"/>
        <v>3799536</v>
      </c>
      <c r="AN93" s="38">
        <f t="shared" si="254"/>
        <v>3799536</v>
      </c>
      <c r="AO93" s="38">
        <f t="shared" si="254"/>
        <v>45161614.290545747</v>
      </c>
      <c r="AP93" s="38">
        <f>B93+AO93+AB93+O93</f>
        <v>130455676.48595135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</row>
    <row r="94" spans="1:62" ht="22.8">
      <c r="A94" s="43" t="s">
        <v>67</v>
      </c>
      <c r="B94" s="38"/>
      <c r="C94" s="38">
        <f>SUM(C95:C97)+C110+C111</f>
        <v>2145482.2350000003</v>
      </c>
      <c r="D94" s="38">
        <f t="shared" ref="C94:AN94" si="255">SUM(D95:D97)+D110+D111</f>
        <v>1536271.23</v>
      </c>
      <c r="E94" s="38">
        <f t="shared" si="255"/>
        <v>3770044.915</v>
      </c>
      <c r="F94" s="38">
        <f t="shared" si="255"/>
        <v>2145482.2350000003</v>
      </c>
      <c r="G94" s="38">
        <f t="shared" si="255"/>
        <v>4176185.585</v>
      </c>
      <c r="H94" s="38">
        <f t="shared" si="255"/>
        <v>2330894.2800000003</v>
      </c>
      <c r="I94" s="38">
        <f t="shared" si="255"/>
        <v>4848966.4340000004</v>
      </c>
      <c r="J94" s="38">
        <f t="shared" si="255"/>
        <v>1636516.7280000001</v>
      </c>
      <c r="K94" s="38">
        <f t="shared" si="255"/>
        <v>2259720.0696</v>
      </c>
      <c r="L94" s="38">
        <f t="shared" si="255"/>
        <v>1763575.0649999999</v>
      </c>
      <c r="M94" s="38">
        <f t="shared" si="255"/>
        <v>2581504.8279300006</v>
      </c>
      <c r="N94" s="38">
        <f t="shared" si="255"/>
        <v>1979622.8596305004</v>
      </c>
      <c r="O94" s="38">
        <f t="shared" si="255"/>
        <v>31174266.464160502</v>
      </c>
      <c r="P94" s="38">
        <f t="shared" si="255"/>
        <v>1217042.5574400001</v>
      </c>
      <c r="Q94" s="38">
        <f t="shared" si="255"/>
        <v>1416813.9210240003</v>
      </c>
      <c r="R94" s="38">
        <f t="shared" si="255"/>
        <v>1747743.5465984</v>
      </c>
      <c r="S94" s="38">
        <f t="shared" si="255"/>
        <v>1826151.0966758402</v>
      </c>
      <c r="T94" s="38">
        <f t="shared" si="255"/>
        <v>1888937.4960116909</v>
      </c>
      <c r="U94" s="38">
        <f t="shared" si="255"/>
        <v>1937286.8618176598</v>
      </c>
      <c r="V94" s="38">
        <f t="shared" si="255"/>
        <v>2000829.0009359594</v>
      </c>
      <c r="W94" s="38">
        <f t="shared" si="255"/>
        <v>2065546.4356002221</v>
      </c>
      <c r="X94" s="38">
        <f t="shared" si="255"/>
        <v>2139325.0729138446</v>
      </c>
      <c r="Y94" s="38">
        <f t="shared" si="255"/>
        <v>2219186.8443673621</v>
      </c>
      <c r="Z94" s="38">
        <f t="shared" si="255"/>
        <v>2307682.1577619649</v>
      </c>
      <c r="AA94" s="38">
        <f t="shared" si="255"/>
        <v>2404703.3200981617</v>
      </c>
      <c r="AB94" s="38">
        <f t="shared" si="255"/>
        <v>23171248.311245106</v>
      </c>
      <c r="AC94" s="38">
        <f t="shared" si="255"/>
        <v>1946507.9620139999</v>
      </c>
      <c r="AD94" s="38">
        <f t="shared" si="255"/>
        <v>2090762.1157989169</v>
      </c>
      <c r="AE94" s="38">
        <f t="shared" si="255"/>
        <v>2162912.2127328333</v>
      </c>
      <c r="AF94" s="38">
        <f t="shared" si="255"/>
        <v>2211000</v>
      </c>
      <c r="AG94" s="38">
        <f t="shared" si="255"/>
        <v>2211000</v>
      </c>
      <c r="AH94" s="38">
        <f t="shared" si="255"/>
        <v>2211000</v>
      </c>
      <c r="AI94" s="38">
        <f t="shared" si="255"/>
        <v>2211000</v>
      </c>
      <c r="AJ94" s="38">
        <f t="shared" si="255"/>
        <v>2211000</v>
      </c>
      <c r="AK94" s="38">
        <f t="shared" si="255"/>
        <v>2211000</v>
      </c>
      <c r="AL94" s="38">
        <f t="shared" si="255"/>
        <v>2211000</v>
      </c>
      <c r="AM94" s="38">
        <f t="shared" si="255"/>
        <v>2211000</v>
      </c>
      <c r="AN94" s="38">
        <f t="shared" si="255"/>
        <v>2211000</v>
      </c>
      <c r="AO94" s="38">
        <f>SUM(AC94:AN94)</f>
        <v>26099182.29054575</v>
      </c>
      <c r="AP94" s="38">
        <f>B94+AO94+AB94+O94</f>
        <v>80444697.065951362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</row>
    <row r="95" spans="1:62" ht="15.75" customHeight="1" outlineLevel="1">
      <c r="A95" s="28" t="s">
        <v>68</v>
      </c>
      <c r="B95" s="28"/>
      <c r="C95" s="28">
        <f>$H$9*C89+$H$9*C90</f>
        <v>794623.04999999993</v>
      </c>
      <c r="D95" s="28">
        <f t="shared" ref="C95:N95" si="256">$H$9*D89+$H$9*D90</f>
        <v>794623.04999999993</v>
      </c>
      <c r="E95" s="28">
        <f t="shared" si="256"/>
        <v>794623.04999999993</v>
      </c>
      <c r="F95" s="28">
        <f t="shared" si="256"/>
        <v>794623.04999999993</v>
      </c>
      <c r="G95" s="28">
        <f t="shared" si="256"/>
        <v>794623.04999999993</v>
      </c>
      <c r="H95" s="28">
        <f t="shared" si="256"/>
        <v>953547.66</v>
      </c>
      <c r="I95" s="28">
        <f t="shared" si="256"/>
        <v>953547.66</v>
      </c>
      <c r="J95" s="28">
        <f t="shared" si="256"/>
        <v>1144257.1919999998</v>
      </c>
      <c r="K95" s="28">
        <f t="shared" si="256"/>
        <v>1144257.1919999998</v>
      </c>
      <c r="L95" s="28">
        <f t="shared" si="256"/>
        <v>1201470.0515999999</v>
      </c>
      <c r="M95" s="28">
        <f t="shared" si="256"/>
        <v>1261543.5541800002</v>
      </c>
      <c r="N95" s="28">
        <f t="shared" si="256"/>
        <v>1324620.7318890002</v>
      </c>
      <c r="O95" s="30">
        <f t="shared" ref="O95:O107" si="257">SUM(C95:N95)</f>
        <v>11956359.291668998</v>
      </c>
      <c r="P95" s="28">
        <f t="shared" ref="P95:AA95" si="258">$H$9*P89+$H$9*P90</f>
        <v>320955.90912000003</v>
      </c>
      <c r="Q95" s="28">
        <f t="shared" si="258"/>
        <v>353051.50003200007</v>
      </c>
      <c r="R95" s="28">
        <f t="shared" si="258"/>
        <v>388356.65003520012</v>
      </c>
      <c r="S95" s="28">
        <f t="shared" si="258"/>
        <v>427192.31503872009</v>
      </c>
      <c r="T95" s="28">
        <f t="shared" si="258"/>
        <v>469911.54654259217</v>
      </c>
      <c r="U95" s="28">
        <f t="shared" si="258"/>
        <v>516902.70119685144</v>
      </c>
      <c r="V95" s="28">
        <f t="shared" si="258"/>
        <v>568592.97131653666</v>
      </c>
      <c r="W95" s="28">
        <f t="shared" si="258"/>
        <v>625452.2684481903</v>
      </c>
      <c r="X95" s="28">
        <f t="shared" si="258"/>
        <v>687997.49529300944</v>
      </c>
      <c r="Y95" s="28">
        <f t="shared" si="258"/>
        <v>756797.2448223104</v>
      </c>
      <c r="Z95" s="28">
        <f t="shared" si="258"/>
        <v>832476.96930454159</v>
      </c>
      <c r="AA95" s="28">
        <f t="shared" si="258"/>
        <v>915724.6662349957</v>
      </c>
      <c r="AB95" s="30">
        <f t="shared" ref="AB95:AB100" si="259">SUM(P95:AA95)</f>
        <v>6863412.2373849489</v>
      </c>
      <c r="AC95" s="28">
        <f t="shared" ref="AC95:AN95" si="260">$H$9*AC89+$H$9*AC90</f>
        <v>522942.43755600002</v>
      </c>
      <c r="AD95" s="28">
        <f t="shared" si="260"/>
        <v>561697.28484149999</v>
      </c>
      <c r="AE95" s="28">
        <f t="shared" si="260"/>
        <v>581080.89297300007</v>
      </c>
      <c r="AF95" s="28">
        <f t="shared" si="260"/>
        <v>594000</v>
      </c>
      <c r="AG95" s="28">
        <f t="shared" si="260"/>
        <v>594000</v>
      </c>
      <c r="AH95" s="28">
        <f t="shared" si="260"/>
        <v>594000</v>
      </c>
      <c r="AI95" s="28">
        <f t="shared" si="260"/>
        <v>594000</v>
      </c>
      <c r="AJ95" s="28">
        <f t="shared" si="260"/>
        <v>594000</v>
      </c>
      <c r="AK95" s="28">
        <f t="shared" si="260"/>
        <v>594000</v>
      </c>
      <c r="AL95" s="28">
        <f t="shared" si="260"/>
        <v>594000</v>
      </c>
      <c r="AM95" s="28">
        <f t="shared" si="260"/>
        <v>594000</v>
      </c>
      <c r="AN95" s="28">
        <f t="shared" si="260"/>
        <v>594000</v>
      </c>
      <c r="AO95" s="28">
        <f t="shared" ref="AO95:AO100" si="261">SUM(AC95:AN95)</f>
        <v>7011720.6153704999</v>
      </c>
      <c r="AP95" s="28">
        <f t="shared" ref="AP95:AP100" si="262">AB95+O95+AO95</f>
        <v>25831492.14442445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</row>
    <row r="96" spans="1:62" ht="15.75" customHeight="1" outlineLevel="1">
      <c r="A96" s="28" t="s">
        <v>69</v>
      </c>
      <c r="B96" s="28"/>
      <c r="C96" s="28">
        <f>$H$10*C89</f>
        <v>132437.17500000002</v>
      </c>
      <c r="D96" s="28">
        <f t="shared" ref="C96:N96" si="263">$H$10*D89</f>
        <v>132437.17500000002</v>
      </c>
      <c r="E96" s="28">
        <f t="shared" si="263"/>
        <v>132437.17500000002</v>
      </c>
      <c r="F96" s="28">
        <f t="shared" si="263"/>
        <v>132437.17500000002</v>
      </c>
      <c r="G96" s="28">
        <f t="shared" si="263"/>
        <v>132437.17500000002</v>
      </c>
      <c r="H96" s="28">
        <f t="shared" si="263"/>
        <v>158924.61000000002</v>
      </c>
      <c r="I96" s="28">
        <f t="shared" si="263"/>
        <v>158924.61000000002</v>
      </c>
      <c r="J96" s="28">
        <f t="shared" si="263"/>
        <v>190709.53200000001</v>
      </c>
      <c r="K96" s="28">
        <f t="shared" si="263"/>
        <v>190709.53200000001</v>
      </c>
      <c r="L96" s="28">
        <f t="shared" si="263"/>
        <v>200245.0086</v>
      </c>
      <c r="M96" s="28">
        <f t="shared" si="263"/>
        <v>210257.25903000004</v>
      </c>
      <c r="N96" s="28">
        <f t="shared" si="263"/>
        <v>220770.12198150007</v>
      </c>
      <c r="O96" s="30">
        <f t="shared" si="257"/>
        <v>1992726.5486115003</v>
      </c>
      <c r="P96" s="28">
        <f t="shared" ref="P96:AA96" si="264">$H$10*P89</f>
        <v>53492.651520000007</v>
      </c>
      <c r="Q96" s="28">
        <f t="shared" si="264"/>
        <v>58841.916672000014</v>
      </c>
      <c r="R96" s="28">
        <f t="shared" si="264"/>
        <v>64726.108339200022</v>
      </c>
      <c r="S96" s="28">
        <f t="shared" si="264"/>
        <v>71198.719173120029</v>
      </c>
      <c r="T96" s="28">
        <f t="shared" si="264"/>
        <v>78318.591090432034</v>
      </c>
      <c r="U96" s="28">
        <f t="shared" si="264"/>
        <v>86150.45019947525</v>
      </c>
      <c r="V96" s="28">
        <f t="shared" si="264"/>
        <v>94765.495219422781</v>
      </c>
      <c r="W96" s="28">
        <f t="shared" si="264"/>
        <v>104242.04474136507</v>
      </c>
      <c r="X96" s="28">
        <f t="shared" si="264"/>
        <v>114666.24921550158</v>
      </c>
      <c r="Y96" s="28">
        <f t="shared" si="264"/>
        <v>126132.87413705174</v>
      </c>
      <c r="Z96" s="28">
        <f t="shared" si="264"/>
        <v>138746.16155075695</v>
      </c>
      <c r="AA96" s="28">
        <f t="shared" si="264"/>
        <v>152620.77770583262</v>
      </c>
      <c r="AB96" s="30">
        <f t="shared" si="259"/>
        <v>1143902.0395641581</v>
      </c>
      <c r="AC96" s="28">
        <f t="shared" ref="AC96:AN96" si="265">$H$10*AC89</f>
        <v>87157.072926000008</v>
      </c>
      <c r="AD96" s="28">
        <f t="shared" si="265"/>
        <v>93616.214140249998</v>
      </c>
      <c r="AE96" s="28">
        <f t="shared" si="265"/>
        <v>96846.815495500021</v>
      </c>
      <c r="AF96" s="28">
        <f t="shared" si="265"/>
        <v>99000</v>
      </c>
      <c r="AG96" s="28">
        <f t="shared" si="265"/>
        <v>99000</v>
      </c>
      <c r="AH96" s="28">
        <f t="shared" si="265"/>
        <v>99000</v>
      </c>
      <c r="AI96" s="28">
        <f t="shared" si="265"/>
        <v>99000</v>
      </c>
      <c r="AJ96" s="28">
        <f t="shared" si="265"/>
        <v>99000</v>
      </c>
      <c r="AK96" s="28">
        <f t="shared" si="265"/>
        <v>99000</v>
      </c>
      <c r="AL96" s="28">
        <f t="shared" si="265"/>
        <v>99000</v>
      </c>
      <c r="AM96" s="28">
        <f t="shared" si="265"/>
        <v>99000</v>
      </c>
      <c r="AN96" s="28">
        <f t="shared" si="265"/>
        <v>99000</v>
      </c>
      <c r="AO96" s="28">
        <f t="shared" si="261"/>
        <v>1168620.10256175</v>
      </c>
      <c r="AP96" s="28">
        <f t="shared" si="262"/>
        <v>4305248.6907374077</v>
      </c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</row>
    <row r="97" spans="1:62" ht="15.75" customHeight="1" outlineLevel="1" collapsed="1">
      <c r="A97" s="28" t="s">
        <v>70</v>
      </c>
      <c r="B97" s="52"/>
      <c r="C97" s="28">
        <f>C98+C99+C100+C101+C102+C103+C104+C105+C106+C107-C108-C109</f>
        <v>1059497.3999999999</v>
      </c>
      <c r="D97" s="28">
        <f t="shared" ref="D97" si="266">D98+D99+D100+D101+D102+D103+D104+D105+D106+D107-D108-D109</f>
        <v>529748.69999999995</v>
      </c>
      <c r="E97" s="28">
        <f>E98+E99+E100+E101+E102+E103+E104+E105+E106+E107-E108-E109</f>
        <v>2472160.6</v>
      </c>
      <c r="F97" s="28">
        <f>F98+F99+F100+F101+F102+F103+F104+F105+F106+F107-F108-F109</f>
        <v>1059497.3999999999</v>
      </c>
      <c r="G97" s="28">
        <f>G98+G99+G100+G101+G102+G103+G104+G105+G106+G107-G108-G109</f>
        <v>2825326.4</v>
      </c>
      <c r="H97" s="28">
        <f>H98+H99+H100+H101+H102+H103+H104+H105+H106+H107-H108-H109</f>
        <v>1059497.3999999999</v>
      </c>
      <c r="I97" s="28">
        <f>I98+I99+I100+I101+I102+I103+I104+I105+I106+I107-I108-I109</f>
        <v>3249125.36</v>
      </c>
      <c r="J97" s="28">
        <f>J98+J99+J100-J108-J109</f>
        <v>216345.59999999998</v>
      </c>
      <c r="K97" s="28">
        <f>K98+K99+K100-K108-K109</f>
        <v>663459.83999999997</v>
      </c>
      <c r="L97" s="28">
        <f t="shared" ref="L97:N97" si="267">L98+L99+L100-L108-L109</f>
        <v>259614.72</v>
      </c>
      <c r="M97" s="28">
        <f t="shared" si="267"/>
        <v>796151.80799999996</v>
      </c>
      <c r="N97" s="28">
        <f t="shared" si="267"/>
        <v>311537.66399999999</v>
      </c>
      <c r="O97" s="30">
        <f t="shared" si="257"/>
        <v>14501962.892000001</v>
      </c>
      <c r="P97" s="28">
        <f t="shared" ref="P97:AA97" si="268">P98+P99+P100-P108-P109</f>
        <v>732690.43200000003</v>
      </c>
      <c r="Q97" s="28">
        <f t="shared" si="268"/>
        <v>873843.91680000001</v>
      </c>
      <c r="R97" s="28">
        <f t="shared" si="268"/>
        <v>1125791.9897599998</v>
      </c>
      <c r="S97" s="28">
        <f t="shared" si="268"/>
        <v>1154573.9673599999</v>
      </c>
      <c r="T97" s="28">
        <f t="shared" si="268"/>
        <v>1165832.4855466667</v>
      </c>
      <c r="U97" s="28">
        <f t="shared" si="268"/>
        <v>1160203.2264533332</v>
      </c>
      <c r="V97" s="28">
        <f t="shared" si="268"/>
        <v>1163017.8559999999</v>
      </c>
      <c r="W97" s="28">
        <f t="shared" si="268"/>
        <v>1161610.5412266667</v>
      </c>
      <c r="X97" s="28">
        <f t="shared" si="268"/>
        <v>1162314.1986133333</v>
      </c>
      <c r="Y97" s="28">
        <f t="shared" si="268"/>
        <v>1161962.36992</v>
      </c>
      <c r="Z97" s="28">
        <f t="shared" si="268"/>
        <v>1162138.2842666665</v>
      </c>
      <c r="AA97" s="28">
        <f t="shared" si="268"/>
        <v>1162050.3270933335</v>
      </c>
      <c r="AB97" s="30">
        <f t="shared" si="259"/>
        <v>13186029.595039997</v>
      </c>
      <c r="AC97" s="28">
        <f t="shared" ref="AC97:AN97" si="269">AC98+AC99+AC100-AC108-AC109</f>
        <v>1162094.30568</v>
      </c>
      <c r="AD97" s="28">
        <f t="shared" si="269"/>
        <v>1248216.1885366668</v>
      </c>
      <c r="AE97" s="28">
        <f t="shared" si="269"/>
        <v>1291290.8732733335</v>
      </c>
      <c r="AF97" s="28">
        <f t="shared" si="269"/>
        <v>1320000</v>
      </c>
      <c r="AG97" s="28">
        <f t="shared" si="269"/>
        <v>1320000</v>
      </c>
      <c r="AH97" s="28">
        <f t="shared" si="269"/>
        <v>1320000</v>
      </c>
      <c r="AI97" s="28">
        <f t="shared" si="269"/>
        <v>1320000</v>
      </c>
      <c r="AJ97" s="28">
        <f t="shared" si="269"/>
        <v>1320000</v>
      </c>
      <c r="AK97" s="28">
        <f t="shared" si="269"/>
        <v>1320000</v>
      </c>
      <c r="AL97" s="28">
        <f t="shared" si="269"/>
        <v>1320000</v>
      </c>
      <c r="AM97" s="28">
        <f t="shared" si="269"/>
        <v>1320000</v>
      </c>
      <c r="AN97" s="28">
        <f t="shared" si="269"/>
        <v>1320000</v>
      </c>
      <c r="AO97" s="28">
        <f t="shared" si="261"/>
        <v>15581601.367490001</v>
      </c>
      <c r="AP97" s="28">
        <f t="shared" si="262"/>
        <v>43269593.854529999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</row>
    <row r="98" spans="1:62" ht="15.75" hidden="1" customHeight="1" outlineLevel="2">
      <c r="A98" s="28" t="s">
        <v>71</v>
      </c>
      <c r="B98" s="52"/>
      <c r="C98" s="28">
        <f>C42*$L$8+B42*$L$9</f>
        <v>60288</v>
      </c>
      <c r="D98" s="28">
        <f>D42*$L$8+C42*$L$9+B42*$L$10</f>
        <v>30144</v>
      </c>
      <c r="E98" s="28">
        <f>E42*$L$8+D42*$L$9+C42*$L$10+B42*$L$11</f>
        <v>140672</v>
      </c>
      <c r="F98" s="28">
        <f>F42*$L$8+E42*$L$9+D42*$L$10+C42*$L$11</f>
        <v>60288</v>
      </c>
      <c r="G98" s="28">
        <f t="shared" ref="G98:N98" si="270">G42*$L$8+F42*$L$9+E42*$L$10+D42*$L$11</f>
        <v>160768</v>
      </c>
      <c r="H98" s="28">
        <f t="shared" si="270"/>
        <v>60288</v>
      </c>
      <c r="I98" s="28">
        <f t="shared" si="270"/>
        <v>184883.19999999998</v>
      </c>
      <c r="J98" s="28">
        <f t="shared" si="270"/>
        <v>72345.599999999991</v>
      </c>
      <c r="K98" s="28">
        <f t="shared" si="270"/>
        <v>221859.84</v>
      </c>
      <c r="L98" s="28">
        <f t="shared" si="270"/>
        <v>86814.720000000001</v>
      </c>
      <c r="M98" s="28">
        <f t="shared" si="270"/>
        <v>266231.80800000002</v>
      </c>
      <c r="N98" s="28">
        <f t="shared" si="270"/>
        <v>104177.664</v>
      </c>
      <c r="O98" s="30">
        <f t="shared" si="257"/>
        <v>1448760.8319999999</v>
      </c>
      <c r="P98" s="28">
        <f>P42*$L$8+N42*$L$9+M42*$L$10+L42*$L$11+K42*$L$12</f>
        <v>245010.43199999997</v>
      </c>
      <c r="Q98" s="28">
        <f>Q42*$L$8+P42*$L$9+N42*$L$10+M42*$L$11+L42*$L$12</f>
        <v>292211.91680000001</v>
      </c>
      <c r="R98" s="28">
        <f>R42*$L$8+Q42*$L$9+P42*$L$10+N42*$L$11+M42*$L$12</f>
        <v>376462.92309333337</v>
      </c>
      <c r="S98" s="28">
        <f>S42*$L$8+R42*$L$9+Q42*$L$10+P42*$L$11+N42*$L$12</f>
        <v>386087.56736000004</v>
      </c>
      <c r="T98" s="28">
        <f>T42*$L$8+S42*$L$9+R42*$L$10+Q42*$L$11+P42*$L$12</f>
        <v>389852.39665777783</v>
      </c>
      <c r="U98" s="28">
        <f>U42*$L$8+T42*$L$9+S42*$L$10+R42*$L$11+Q42*$L$12</f>
        <v>387969.98200888891</v>
      </c>
      <c r="V98" s="28">
        <f t="shared" ref="V98:AA98" si="271">V42*$L$8+U42*$L$9+T42*$L$10+S42*$L$11+R42*$L$12</f>
        <v>388911.18933333334</v>
      </c>
      <c r="W98" s="28">
        <f t="shared" si="271"/>
        <v>388440.58567111107</v>
      </c>
      <c r="X98" s="28">
        <f t="shared" si="271"/>
        <v>388675.88750222221</v>
      </c>
      <c r="Y98" s="28">
        <f t="shared" si="271"/>
        <v>388558.23658666667</v>
      </c>
      <c r="Z98" s="28">
        <f t="shared" si="271"/>
        <v>388617.06204444438</v>
      </c>
      <c r="AA98" s="28">
        <f t="shared" si="271"/>
        <v>388587.64931555558</v>
      </c>
      <c r="AB98" s="30">
        <f t="shared" si="259"/>
        <v>4409385.8283733334</v>
      </c>
      <c r="AC98" s="28">
        <f>AC42*$L$8+AA42*$L$9+Z42*$L$10+Y42*$L$11+X42*$L$12</f>
        <v>388602.35568000004</v>
      </c>
      <c r="AD98" s="28">
        <f>AD42*$L$8+AC42*$L$9+AA42*$L$10+Z42*$L$11+Y42*$L$12</f>
        <v>296634.59339777782</v>
      </c>
      <c r="AE98" s="28">
        <f>AE42*$L$8+AD42*$L$9+AC42*$L$10+AA42*$L$11+Z42*$L$12</f>
        <v>250655.30799555557</v>
      </c>
      <c r="AF98" s="28">
        <f>AF42*$L$8+AE42*$L$9+AD42*$L$10+AC42*$L$11+AA42*$L$12</f>
        <v>220000</v>
      </c>
      <c r="AG98" s="28">
        <f t="shared" ref="AG98:AN98" si="272">AG42*$L$8+AF42*$L$9+AE42*$L$10+AD42*$L$11+AC42*$L$12</f>
        <v>220000</v>
      </c>
      <c r="AH98" s="28">
        <f t="shared" si="272"/>
        <v>220000</v>
      </c>
      <c r="AI98" s="28">
        <f t="shared" si="272"/>
        <v>220000</v>
      </c>
      <c r="AJ98" s="28">
        <f t="shared" si="272"/>
        <v>220000</v>
      </c>
      <c r="AK98" s="28">
        <f t="shared" si="272"/>
        <v>220000</v>
      </c>
      <c r="AL98" s="28">
        <f t="shared" si="272"/>
        <v>220000</v>
      </c>
      <c r="AM98" s="28">
        <f t="shared" si="272"/>
        <v>220000</v>
      </c>
      <c r="AN98" s="28">
        <f t="shared" si="272"/>
        <v>220000</v>
      </c>
      <c r="AO98" s="28">
        <f t="shared" si="261"/>
        <v>2915892.2570733335</v>
      </c>
      <c r="AP98" s="28">
        <f t="shared" si="262"/>
        <v>8774038.9174466673</v>
      </c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</row>
    <row r="99" spans="1:62" ht="15.75" hidden="1" customHeight="1" outlineLevel="2">
      <c r="A99" s="28" t="s">
        <v>72</v>
      </c>
      <c r="B99" s="52"/>
      <c r="C99" s="28">
        <f>C44*$L$8+B44*$L$9</f>
        <v>66000</v>
      </c>
      <c r="D99" s="28">
        <f>D44*$L$8+C44*$L$9+B44*$L$10</f>
        <v>33000</v>
      </c>
      <c r="E99" s="28">
        <f>E44*$L$8+D44*$L$9+C44*$L$10+B44*$L$11</f>
        <v>154000</v>
      </c>
      <c r="F99" s="28">
        <f>F44*$L$8+E44*$L$9+D44*$L$10+C44*$L$11</f>
        <v>66000</v>
      </c>
      <c r="G99" s="28">
        <f t="shared" ref="G99:N99" si="273">G44*$L$8+F44*$L$9+E44*$L$10+D44*$L$11</f>
        <v>176000</v>
      </c>
      <c r="H99" s="28">
        <f t="shared" si="273"/>
        <v>66000</v>
      </c>
      <c r="I99" s="28">
        <f t="shared" si="273"/>
        <v>202400</v>
      </c>
      <c r="J99" s="28">
        <f t="shared" si="273"/>
        <v>79200</v>
      </c>
      <c r="K99" s="28">
        <f t="shared" si="273"/>
        <v>242880</v>
      </c>
      <c r="L99" s="28">
        <f t="shared" si="273"/>
        <v>95040</v>
      </c>
      <c r="M99" s="28">
        <f t="shared" si="273"/>
        <v>291456</v>
      </c>
      <c r="N99" s="28">
        <f t="shared" si="273"/>
        <v>114047.99999999999</v>
      </c>
      <c r="O99" s="30">
        <f t="shared" si="257"/>
        <v>1586024</v>
      </c>
      <c r="P99" s="28">
        <f>P44*$L$8+N44*$L$9+M44*$L$10+L44*$L$11+K44*$L$12</f>
        <v>268224</v>
      </c>
      <c r="Q99" s="28">
        <f>Q44*$L$8+P44*$L$9+N44*$L$10+M44*$L$11+L44*$L$12</f>
        <v>319897.59999999998</v>
      </c>
      <c r="R99" s="28">
        <f>R44*$L$8+Q44*$L$9+P44*$L$10+N44*$L$11+M44*$L$12</f>
        <v>412130.98666666663</v>
      </c>
      <c r="S99" s="28">
        <f>S44*$L$8+R44*$L$9+Q44*$L$10+P44*$L$11+N44*$L$12</f>
        <v>422667.51999999996</v>
      </c>
      <c r="T99" s="28">
        <f>T44*$L$8+S44*$L$9+R44*$L$10+Q44*$L$11+P44*$L$12</f>
        <v>426789.04888888891</v>
      </c>
      <c r="U99" s="28">
        <f>U44*$L$8+T44*$L$9+S44*$L$10+R44*$L$11+Q44*$L$12</f>
        <v>424728.28444444441</v>
      </c>
      <c r="V99" s="28">
        <f t="shared" ref="V99:AA99" si="274">V44*$L$8+U44*$L$9+T44*$L$10+S44*$L$11+R44*$L$12</f>
        <v>425758.66666666663</v>
      </c>
      <c r="W99" s="28">
        <f t="shared" si="274"/>
        <v>425243.47555555555</v>
      </c>
      <c r="X99" s="28">
        <f t="shared" si="274"/>
        <v>425501.07111111103</v>
      </c>
      <c r="Y99" s="28">
        <f t="shared" si="274"/>
        <v>425372.27333333326</v>
      </c>
      <c r="Z99" s="28">
        <f t="shared" si="274"/>
        <v>425436.6722222222</v>
      </c>
      <c r="AA99" s="28">
        <f t="shared" si="274"/>
        <v>425404.47277777776</v>
      </c>
      <c r="AB99" s="30">
        <f t="shared" si="259"/>
        <v>4827154.0716666663</v>
      </c>
      <c r="AC99" s="28">
        <f>AC44*$L$8+AA44*$L$9+Z44*$L$10+Y44*$L$11+X44*$L$12</f>
        <v>425420.57250000001</v>
      </c>
      <c r="AD99" s="28">
        <f>AD44*$L$8+AC44*$L$9+AA44*$L$10+Z44*$L$11+Y44*$L$12</f>
        <v>523369.8773263889</v>
      </c>
      <c r="AE99" s="28">
        <f>AE44*$L$8+AD44*$L$9+AC44*$L$10+AA44*$L$11+Z44*$L$12</f>
        <v>572349.56090277783</v>
      </c>
      <c r="AF99" s="28">
        <f>AF44*$L$8+AE44*$L$9+AD44*$L$10+AC44*$L$11+AA44*$L$12</f>
        <v>605000</v>
      </c>
      <c r="AG99" s="28">
        <f t="shared" ref="AG99:AN99" si="275">AG44*$L$8+AF44*$L$9+AE44*$L$10+AD44*$L$11+AC44*$L$12</f>
        <v>605000</v>
      </c>
      <c r="AH99" s="28">
        <f t="shared" si="275"/>
        <v>605000</v>
      </c>
      <c r="AI99" s="28">
        <f t="shared" si="275"/>
        <v>605000</v>
      </c>
      <c r="AJ99" s="28">
        <f t="shared" si="275"/>
        <v>605000</v>
      </c>
      <c r="AK99" s="28">
        <f t="shared" si="275"/>
        <v>605000</v>
      </c>
      <c r="AL99" s="28">
        <f t="shared" si="275"/>
        <v>605000</v>
      </c>
      <c r="AM99" s="28">
        <f t="shared" si="275"/>
        <v>605000</v>
      </c>
      <c r="AN99" s="28">
        <f t="shared" si="275"/>
        <v>605000</v>
      </c>
      <c r="AO99" s="28">
        <f t="shared" si="261"/>
        <v>6966140.0107291667</v>
      </c>
      <c r="AP99" s="28">
        <f t="shared" si="262"/>
        <v>13379318.082395833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</row>
    <row r="100" spans="1:62" ht="15.75" hidden="1" customHeight="1" outlineLevel="2">
      <c r="A100" s="28" t="s">
        <v>73</v>
      </c>
      <c r="B100" s="52"/>
      <c r="C100" s="28">
        <f>C46*$L$8+B46*$L$9</f>
        <v>54000</v>
      </c>
      <c r="D100" s="28">
        <f>D46*$L$8+C46*$L$9+B46*$L$10</f>
        <v>27000</v>
      </c>
      <c r="E100" s="28">
        <f>E46*$L$8+D46*$L$9+C46*$L$10+B46*$L$11</f>
        <v>126000</v>
      </c>
      <c r="F100" s="28">
        <f>F46*$L$8+E46*$L$9+D46*$L$10+C46*$L$11</f>
        <v>54000</v>
      </c>
      <c r="G100" s="28">
        <f t="shared" ref="G100:N100" si="276">G46*$L$8+F46*$L$9+E46*$L$10+D46*$L$11</f>
        <v>144000</v>
      </c>
      <c r="H100" s="28">
        <f t="shared" si="276"/>
        <v>54000</v>
      </c>
      <c r="I100" s="28">
        <f t="shared" si="276"/>
        <v>165600</v>
      </c>
      <c r="J100" s="28">
        <f t="shared" si="276"/>
        <v>64800</v>
      </c>
      <c r="K100" s="28">
        <f t="shared" si="276"/>
        <v>198720</v>
      </c>
      <c r="L100" s="28">
        <f t="shared" si="276"/>
        <v>77760</v>
      </c>
      <c r="M100" s="28">
        <f t="shared" si="276"/>
        <v>238463.99999999997</v>
      </c>
      <c r="N100" s="28">
        <f t="shared" si="276"/>
        <v>93311.999999999985</v>
      </c>
      <c r="O100" s="30">
        <f t="shared" si="257"/>
        <v>1297656</v>
      </c>
      <c r="P100" s="28">
        <f>P46*$L$8+N46*$L$9+M46*$L$10+L46*$L$11+K46*$L$12</f>
        <v>219456</v>
      </c>
      <c r="Q100" s="28">
        <f>Q46*$L$8+P46*$L$9+N46*$L$10+M46*$L$11+L46*$L$12</f>
        <v>261734.39999999999</v>
      </c>
      <c r="R100" s="28">
        <f>R46*$L$8+Q46*$L$9+P46*$L$10+N46*$L$11+M46*$L$12</f>
        <v>337198.07999999996</v>
      </c>
      <c r="S100" s="28">
        <f>S46*$L$8+R46*$L$9+Q46*$L$10+P46*$L$11+N46*$L$12</f>
        <v>345818.87999999995</v>
      </c>
      <c r="T100" s="28">
        <f>T46*$L$8+S46*$L$9+R46*$L$10+Q46*$L$11+P46*$L$12</f>
        <v>349191.04</v>
      </c>
      <c r="U100" s="28">
        <f>U46*$L$8+T46*$L$9+S46*$L$10+R46*$L$11+Q46*$L$12</f>
        <v>347504.95999999996</v>
      </c>
      <c r="V100" s="28">
        <f t="shared" ref="V100:AA100" si="277">V46*$L$8+U46*$L$9+T46*$L$10+S46*$L$11+R46*$L$12</f>
        <v>348347.99999999994</v>
      </c>
      <c r="W100" s="28">
        <f t="shared" si="277"/>
        <v>347926.48</v>
      </c>
      <c r="X100" s="28">
        <f t="shared" si="277"/>
        <v>348137.24</v>
      </c>
      <c r="Y100" s="28">
        <f t="shared" si="277"/>
        <v>348031.86</v>
      </c>
      <c r="Z100" s="28">
        <f t="shared" si="277"/>
        <v>348084.54999999993</v>
      </c>
      <c r="AA100" s="28">
        <f t="shared" si="277"/>
        <v>348058.20499999996</v>
      </c>
      <c r="AB100" s="30">
        <f t="shared" si="259"/>
        <v>3949489.6949999998</v>
      </c>
      <c r="AC100" s="28">
        <f>AC46*$L$8+AA46*$L$9+Z46*$L$10+Y46*$L$11+X46*$L$12</f>
        <v>348071.37749999994</v>
      </c>
      <c r="AD100" s="28">
        <f>AD46*$L$8+AC46*$L$9+AA46*$L$10+Z46*$L$11+Y46*$L$12</f>
        <v>428211.71781249996</v>
      </c>
      <c r="AE100" s="28">
        <f>AE46*$L$8+AD46*$L$9+AC46*$L$10+AA46*$L$11+Z46*$L$12</f>
        <v>468286.00437500002</v>
      </c>
      <c r="AF100" s="28">
        <f>AF46*$L$8+AE46*$L$9+AD46*$L$10+AC46*$L$11+AA46*$L$12</f>
        <v>495000</v>
      </c>
      <c r="AG100" s="28">
        <f t="shared" ref="AG100:AN100" si="278">AG46*$L$8+AF46*$L$9+AE46*$L$10+AD46*$L$11+AC46*$L$12</f>
        <v>495000</v>
      </c>
      <c r="AH100" s="28">
        <f t="shared" si="278"/>
        <v>495000</v>
      </c>
      <c r="AI100" s="28">
        <f t="shared" si="278"/>
        <v>495000</v>
      </c>
      <c r="AJ100" s="28">
        <f t="shared" si="278"/>
        <v>495000</v>
      </c>
      <c r="AK100" s="28">
        <f t="shared" si="278"/>
        <v>495000</v>
      </c>
      <c r="AL100" s="28">
        <f t="shared" si="278"/>
        <v>495000</v>
      </c>
      <c r="AM100" s="28">
        <f t="shared" si="278"/>
        <v>495000</v>
      </c>
      <c r="AN100" s="28">
        <f t="shared" si="278"/>
        <v>495000</v>
      </c>
      <c r="AO100" s="28">
        <f t="shared" si="261"/>
        <v>5699569.0996874999</v>
      </c>
      <c r="AP100" s="28">
        <f t="shared" si="262"/>
        <v>10946714.7946875</v>
      </c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</row>
    <row r="101" spans="1:62" ht="15.75" hidden="1" customHeight="1" outlineLevel="2">
      <c r="A101" s="28" t="s">
        <v>74</v>
      </c>
      <c r="B101" s="52"/>
      <c r="C101" s="28">
        <f>C48*$L$8+B48*$L$9</f>
        <v>18950.400000000001</v>
      </c>
      <c r="D101" s="28">
        <f>D48*$L$8+C48*$L$9+B48*$L$10</f>
        <v>9475.2000000000007</v>
      </c>
      <c r="E101" s="28">
        <f>E48*$L$8+D48*$L$9+C48*$L$10+B48*$L$11</f>
        <v>44217.600000000006</v>
      </c>
      <c r="F101" s="28">
        <f>F48*$L$8+E48*$L$9+D48*$L$10+C48*$L$11</f>
        <v>18950.400000000001</v>
      </c>
      <c r="G101" s="28">
        <f t="shared" ref="G101:N101" si="279">G48*$L$8+F48*$L$9+E48*$L$10+D48*$L$11</f>
        <v>50534.400000000009</v>
      </c>
      <c r="H101" s="28">
        <f t="shared" si="279"/>
        <v>18950.400000000001</v>
      </c>
      <c r="I101" s="28">
        <f t="shared" si="279"/>
        <v>58114.559999999998</v>
      </c>
      <c r="J101" s="28">
        <f t="shared" si="279"/>
        <v>22740.48</v>
      </c>
      <c r="K101" s="28">
        <f t="shared" si="279"/>
        <v>69737.472000000009</v>
      </c>
      <c r="L101" s="28">
        <f t="shared" si="279"/>
        <v>27288.576000000005</v>
      </c>
      <c r="M101" s="28">
        <f t="shared" si="279"/>
        <v>83684.966400000005</v>
      </c>
      <c r="N101" s="28">
        <f t="shared" si="279"/>
        <v>32746.2912</v>
      </c>
      <c r="O101" s="30">
        <f t="shared" si="257"/>
        <v>455390.74560000002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30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</row>
    <row r="102" spans="1:62" ht="15.75" hidden="1" customHeight="1" outlineLevel="2">
      <c r="A102" s="28" t="s">
        <v>75</v>
      </c>
      <c r="B102" s="52"/>
      <c r="C102" s="28">
        <f>C50*$L$8+B50*$L$9</f>
        <v>0</v>
      </c>
      <c r="D102" s="28">
        <f>D50*$L$8+C50*$L$9+B50*$L$10</f>
        <v>0</v>
      </c>
      <c r="E102" s="28">
        <f>E50*$L$8+D50*$L$9+C50*$L$10+B50*$L$11</f>
        <v>0</v>
      </c>
      <c r="F102" s="28">
        <f>F50*$L$8+E50*$L$9+D50*$L$10+C50*$L$11</f>
        <v>0</v>
      </c>
      <c r="G102" s="28">
        <f t="shared" ref="G102:N102" si="280">G50*$L$8+F50*$L$9+E50*$L$10+D50*$L$11</f>
        <v>0</v>
      </c>
      <c r="H102" s="28">
        <f t="shared" si="280"/>
        <v>0</v>
      </c>
      <c r="I102" s="28">
        <f t="shared" si="280"/>
        <v>0</v>
      </c>
      <c r="J102" s="28">
        <f t="shared" si="280"/>
        <v>0</v>
      </c>
      <c r="K102" s="28">
        <f t="shared" si="280"/>
        <v>0</v>
      </c>
      <c r="L102" s="28">
        <f t="shared" si="280"/>
        <v>0</v>
      </c>
      <c r="M102" s="28">
        <f t="shared" si="280"/>
        <v>0</v>
      </c>
      <c r="N102" s="28">
        <f t="shared" si="280"/>
        <v>0</v>
      </c>
      <c r="O102" s="30">
        <f t="shared" si="257"/>
        <v>0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30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</row>
    <row r="103" spans="1:62" ht="15.75" hidden="1" customHeight="1" outlineLevel="2">
      <c r="A103" s="28" t="s">
        <v>76</v>
      </c>
      <c r="B103" s="52"/>
      <c r="C103" s="28">
        <f>C52*$L$8+B52*$L$9</f>
        <v>53550</v>
      </c>
      <c r="D103" s="28">
        <f>D52*$L$8+C52*$L$9+B52*$L$10</f>
        <v>26775</v>
      </c>
      <c r="E103" s="28">
        <f>E52*$L$8+D52*$L$9+C52*$L$10+B52*$L$11</f>
        <v>124950</v>
      </c>
      <c r="F103" s="28">
        <f>F52*$L$8+E52*$L$9+D52*$L$10+C52*$L$11</f>
        <v>53550</v>
      </c>
      <c r="G103" s="28">
        <f t="shared" ref="G103:N103" si="281">G52*$L$8+F52*$L$9+E52*$L$10+D52*$L$11</f>
        <v>142800</v>
      </c>
      <c r="H103" s="28">
        <f t="shared" si="281"/>
        <v>53550</v>
      </c>
      <c r="I103" s="28">
        <f t="shared" si="281"/>
        <v>164219.99999999997</v>
      </c>
      <c r="J103" s="28">
        <f t="shared" si="281"/>
        <v>64259.999999999985</v>
      </c>
      <c r="K103" s="28">
        <f t="shared" si="281"/>
        <v>197063.99999999997</v>
      </c>
      <c r="L103" s="28">
        <f t="shared" si="281"/>
        <v>77111.999999999985</v>
      </c>
      <c r="M103" s="28">
        <f t="shared" si="281"/>
        <v>236476.79999999996</v>
      </c>
      <c r="N103" s="28">
        <f t="shared" si="281"/>
        <v>92534.39999999998</v>
      </c>
      <c r="O103" s="30">
        <f t="shared" si="257"/>
        <v>1286842.2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30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</row>
    <row r="104" spans="1:62" ht="15.75" hidden="1" customHeight="1" outlineLevel="2">
      <c r="A104" s="28" t="s">
        <v>77</v>
      </c>
      <c r="B104" s="52"/>
      <c r="C104" s="28">
        <f>C54*$L$8+B54*$L$9</f>
        <v>31944.000000000004</v>
      </c>
      <c r="D104" s="28">
        <f>D54*$L$8+C54*$L$9+B54*$L$10</f>
        <v>15972.000000000002</v>
      </c>
      <c r="E104" s="28">
        <f>E54*$L$8+D54*$L$9+C54*$L$10+B54*$L$11</f>
        <v>74536.000000000015</v>
      </c>
      <c r="F104" s="28">
        <f>F54*$L$8+E54*$L$9+D54*$L$10+C54*$L$11</f>
        <v>31944.000000000004</v>
      </c>
      <c r="G104" s="28">
        <f t="shared" ref="G104:N104" si="282">G54*$L$8+F54*$L$9+E54*$L$10+D54*$L$11</f>
        <v>85184.000000000015</v>
      </c>
      <c r="H104" s="28">
        <f t="shared" si="282"/>
        <v>31944.000000000004</v>
      </c>
      <c r="I104" s="28">
        <f t="shared" si="282"/>
        <v>97961.600000000006</v>
      </c>
      <c r="J104" s="28">
        <f t="shared" si="282"/>
        <v>38332.800000000003</v>
      </c>
      <c r="K104" s="28">
        <f t="shared" si="282"/>
        <v>117553.91999999998</v>
      </c>
      <c r="L104" s="28">
        <f t="shared" si="282"/>
        <v>45999.359999999993</v>
      </c>
      <c r="M104" s="28">
        <f t="shared" si="282"/>
        <v>141064.704</v>
      </c>
      <c r="N104" s="28">
        <f t="shared" si="282"/>
        <v>55199.231999999996</v>
      </c>
      <c r="O104" s="30">
        <f t="shared" si="257"/>
        <v>767635.61600000004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30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</row>
    <row r="105" spans="1:62" ht="15.75" hidden="1" customHeight="1" outlineLevel="2">
      <c r="A105" s="28" t="s">
        <v>78</v>
      </c>
      <c r="B105" s="52"/>
      <c r="C105" s="28">
        <f>C56*$L$8+B56*$L$9</f>
        <v>324810</v>
      </c>
      <c r="D105" s="28">
        <f>D56*$L$8+C56*$L$9+B56*$L$10</f>
        <v>162405</v>
      </c>
      <c r="E105" s="28">
        <f>E56*$L$8+D56*$L$9+C56*$L$10+B56*$L$11</f>
        <v>757890</v>
      </c>
      <c r="F105" s="28">
        <f>F56*$L$8+E56*$L$9+D56*$L$10+C56*$L$11</f>
        <v>324810</v>
      </c>
      <c r="G105" s="28">
        <f t="shared" ref="G105:N105" si="283">G56*$L$8+F56*$L$9+E56*$L$10+D56*$L$11</f>
        <v>866160</v>
      </c>
      <c r="H105" s="28">
        <f t="shared" si="283"/>
        <v>324810</v>
      </c>
      <c r="I105" s="28">
        <f t="shared" si="283"/>
        <v>996084.00000000012</v>
      </c>
      <c r="J105" s="28">
        <f t="shared" si="283"/>
        <v>389772.00000000006</v>
      </c>
      <c r="K105" s="28">
        <f t="shared" si="283"/>
        <v>1195300.8</v>
      </c>
      <c r="L105" s="28">
        <f t="shared" si="283"/>
        <v>467726.39999999997</v>
      </c>
      <c r="M105" s="28">
        <f t="shared" si="283"/>
        <v>1434360.9600000002</v>
      </c>
      <c r="N105" s="28">
        <f t="shared" si="283"/>
        <v>561271.68000000005</v>
      </c>
      <c r="O105" s="30">
        <f t="shared" si="257"/>
        <v>7805400.8399999999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30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</row>
    <row r="106" spans="1:62" ht="15.75" hidden="1" customHeight="1" outlineLevel="2">
      <c r="A106" s="28" t="s">
        <v>79</v>
      </c>
      <c r="B106" s="52"/>
      <c r="C106" s="53">
        <f>C58*$L$8+B58*$L$9</f>
        <v>86184.000000000015</v>
      </c>
      <c r="D106" s="28">
        <f>D58*$L$8+C58*$L$9+B58*$L$10</f>
        <v>43092.000000000007</v>
      </c>
      <c r="E106" s="28">
        <f>E58*$L$8+D58*$L$9+C58*$L$10+B58*$L$11</f>
        <v>201096.00000000003</v>
      </c>
      <c r="F106" s="28">
        <f>F58*$L$8+E58*$L$9+D58*$L$10+C58*$L$11</f>
        <v>86184.000000000015</v>
      </c>
      <c r="G106" s="28">
        <f t="shared" ref="G106:N106" si="284">G58*$L$8+F58*$L$9+E58*$L$10+D58*$L$11</f>
        <v>229824.00000000006</v>
      </c>
      <c r="H106" s="28">
        <f t="shared" si="284"/>
        <v>86184.000000000015</v>
      </c>
      <c r="I106" s="28">
        <f t="shared" si="284"/>
        <v>264297.60000000003</v>
      </c>
      <c r="J106" s="28">
        <f t="shared" si="284"/>
        <v>103420.8</v>
      </c>
      <c r="K106" s="28">
        <f t="shared" si="284"/>
        <v>317157.12</v>
      </c>
      <c r="L106" s="28">
        <f t="shared" si="284"/>
        <v>124104.95999999999</v>
      </c>
      <c r="M106" s="28">
        <f t="shared" si="284"/>
        <v>380588.54399999999</v>
      </c>
      <c r="N106" s="28">
        <f t="shared" si="284"/>
        <v>148925.95199999999</v>
      </c>
      <c r="O106" s="30">
        <f t="shared" si="257"/>
        <v>2071058.976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30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</row>
    <row r="107" spans="1:62" ht="15.75" hidden="1" customHeight="1" outlineLevel="2">
      <c r="A107" s="28" t="s">
        <v>80</v>
      </c>
      <c r="B107" s="52"/>
      <c r="C107" s="28">
        <f>C60*$L$8+B60*$L$9</f>
        <v>363771</v>
      </c>
      <c r="D107" s="28">
        <f>D60*$L$8+C60*$L$9+B60*$L$10</f>
        <v>181885.5</v>
      </c>
      <c r="E107" s="28">
        <f>E60*$L$8+D60*$L$9+C60*$L$10+B60*$L$11</f>
        <v>848799</v>
      </c>
      <c r="F107" s="28">
        <f>F60*$L$8+E60*$L$9+D60*$L$10+C60*$L$11</f>
        <v>363771</v>
      </c>
      <c r="G107" s="28">
        <f t="shared" ref="G107:N107" si="285">G60*$L$8+F60*$L$9+E60*$L$10+D60*$L$11</f>
        <v>970056</v>
      </c>
      <c r="H107" s="28">
        <f t="shared" si="285"/>
        <v>363771</v>
      </c>
      <c r="I107" s="28">
        <f t="shared" si="285"/>
        <v>1115564.3999999999</v>
      </c>
      <c r="J107" s="28">
        <f t="shared" si="285"/>
        <v>436525.2</v>
      </c>
      <c r="K107" s="28">
        <f t="shared" si="285"/>
        <v>1338677.2799999998</v>
      </c>
      <c r="L107" s="28">
        <f t="shared" si="285"/>
        <v>523830.23999999993</v>
      </c>
      <c r="M107" s="28">
        <f t="shared" si="285"/>
        <v>1606412.7359999998</v>
      </c>
      <c r="N107" s="28">
        <f t="shared" si="285"/>
        <v>628596.28799999994</v>
      </c>
      <c r="O107" s="30">
        <f t="shared" si="257"/>
        <v>8741659.6440000013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30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</row>
    <row r="108" spans="1:62" ht="15.75" hidden="1" customHeight="1" outlineLevel="2">
      <c r="A108" s="28" t="s">
        <v>81</v>
      </c>
      <c r="B108" s="52"/>
      <c r="C108" s="28">
        <f t="shared" ref="C108:N108" si="286">-C91*$B$97</f>
        <v>0</v>
      </c>
      <c r="D108" s="28">
        <f t="shared" si="286"/>
        <v>0</v>
      </c>
      <c r="E108" s="28">
        <f t="shared" si="286"/>
        <v>0</v>
      </c>
      <c r="F108" s="28">
        <f t="shared" si="286"/>
        <v>0</v>
      </c>
      <c r="G108" s="28">
        <f t="shared" si="286"/>
        <v>0</v>
      </c>
      <c r="H108" s="28">
        <f t="shared" si="286"/>
        <v>0</v>
      </c>
      <c r="I108" s="28">
        <f t="shared" si="286"/>
        <v>0</v>
      </c>
      <c r="J108" s="28">
        <f t="shared" si="286"/>
        <v>0</v>
      </c>
      <c r="K108" s="28">
        <f t="shared" si="286"/>
        <v>0</v>
      </c>
      <c r="L108" s="28">
        <f t="shared" si="286"/>
        <v>0</v>
      </c>
      <c r="M108" s="28">
        <f t="shared" si="286"/>
        <v>0</v>
      </c>
      <c r="N108" s="28">
        <f t="shared" si="286"/>
        <v>0</v>
      </c>
      <c r="O108" s="30">
        <f>SUM(C108:N108)</f>
        <v>0</v>
      </c>
      <c r="P108" s="28">
        <f t="shared" ref="P108:AA108" si="287">-P91*$B$97</f>
        <v>0</v>
      </c>
      <c r="Q108" s="28">
        <f t="shared" si="287"/>
        <v>0</v>
      </c>
      <c r="R108" s="28">
        <f t="shared" si="287"/>
        <v>0</v>
      </c>
      <c r="S108" s="28">
        <f t="shared" si="287"/>
        <v>0</v>
      </c>
      <c r="T108" s="28">
        <f t="shared" si="287"/>
        <v>0</v>
      </c>
      <c r="U108" s="28">
        <f t="shared" si="287"/>
        <v>0</v>
      </c>
      <c r="V108" s="28">
        <f t="shared" si="287"/>
        <v>0</v>
      </c>
      <c r="W108" s="28">
        <f t="shared" si="287"/>
        <v>0</v>
      </c>
      <c r="X108" s="28">
        <f t="shared" si="287"/>
        <v>0</v>
      </c>
      <c r="Y108" s="28">
        <f t="shared" si="287"/>
        <v>0</v>
      </c>
      <c r="Z108" s="28">
        <f t="shared" si="287"/>
        <v>0</v>
      </c>
      <c r="AA108" s="28">
        <f t="shared" si="287"/>
        <v>0</v>
      </c>
      <c r="AB108" s="30">
        <f>SUM(P108:AA108)</f>
        <v>0</v>
      </c>
      <c r="AC108" s="28">
        <f t="shared" ref="AC108:AO108" si="288">-AC91*$B$97</f>
        <v>0</v>
      </c>
      <c r="AD108" s="28">
        <f t="shared" si="288"/>
        <v>0</v>
      </c>
      <c r="AE108" s="28">
        <f t="shared" si="288"/>
        <v>0</v>
      </c>
      <c r="AF108" s="28">
        <f t="shared" si="288"/>
        <v>0</v>
      </c>
      <c r="AG108" s="28">
        <f t="shared" si="288"/>
        <v>0</v>
      </c>
      <c r="AH108" s="28">
        <f t="shared" si="288"/>
        <v>0</v>
      </c>
      <c r="AI108" s="28">
        <f t="shared" si="288"/>
        <v>0</v>
      </c>
      <c r="AJ108" s="28">
        <f t="shared" si="288"/>
        <v>0</v>
      </c>
      <c r="AK108" s="28">
        <f t="shared" si="288"/>
        <v>0</v>
      </c>
      <c r="AL108" s="28">
        <f t="shared" si="288"/>
        <v>0</v>
      </c>
      <c r="AM108" s="28">
        <f t="shared" si="288"/>
        <v>0</v>
      </c>
      <c r="AN108" s="28">
        <f t="shared" si="288"/>
        <v>0</v>
      </c>
      <c r="AO108" s="28">
        <f t="shared" si="288"/>
        <v>0</v>
      </c>
      <c r="AP108" s="28">
        <f>AB108+O108+AO108</f>
        <v>0</v>
      </c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</row>
    <row r="109" spans="1:62" ht="15.75" hidden="1" customHeight="1" outlineLevel="2">
      <c r="A109" s="28" t="s">
        <v>82</v>
      </c>
      <c r="B109" s="52"/>
      <c r="C109" s="28">
        <f t="shared" ref="C109:N109" si="289">-C90*$B$97</f>
        <v>0</v>
      </c>
      <c r="D109" s="28">
        <f t="shared" si="289"/>
        <v>0</v>
      </c>
      <c r="E109" s="28">
        <f t="shared" si="289"/>
        <v>0</v>
      </c>
      <c r="F109" s="28">
        <f t="shared" si="289"/>
        <v>0</v>
      </c>
      <c r="G109" s="28">
        <f t="shared" si="289"/>
        <v>0</v>
      </c>
      <c r="H109" s="28">
        <f t="shared" si="289"/>
        <v>0</v>
      </c>
      <c r="I109" s="28">
        <f t="shared" si="289"/>
        <v>0</v>
      </c>
      <c r="J109" s="28">
        <f t="shared" si="289"/>
        <v>0</v>
      </c>
      <c r="K109" s="28">
        <f t="shared" si="289"/>
        <v>0</v>
      </c>
      <c r="L109" s="28">
        <f t="shared" si="289"/>
        <v>0</v>
      </c>
      <c r="M109" s="28">
        <f t="shared" si="289"/>
        <v>0</v>
      </c>
      <c r="N109" s="28">
        <f t="shared" si="289"/>
        <v>0</v>
      </c>
      <c r="O109" s="30">
        <f>SUM(C109:N109)</f>
        <v>0</v>
      </c>
      <c r="P109" s="28">
        <f t="shared" ref="P109:AA109" si="290">-P90*$B$97</f>
        <v>0</v>
      </c>
      <c r="Q109" s="28">
        <f t="shared" si="290"/>
        <v>0</v>
      </c>
      <c r="R109" s="28">
        <f t="shared" si="290"/>
        <v>0</v>
      </c>
      <c r="S109" s="28">
        <f t="shared" si="290"/>
        <v>0</v>
      </c>
      <c r="T109" s="28">
        <f t="shared" si="290"/>
        <v>0</v>
      </c>
      <c r="U109" s="28">
        <f t="shared" si="290"/>
        <v>0</v>
      </c>
      <c r="V109" s="28">
        <f t="shared" si="290"/>
        <v>0</v>
      </c>
      <c r="W109" s="28">
        <f t="shared" si="290"/>
        <v>0</v>
      </c>
      <c r="X109" s="28">
        <f t="shared" si="290"/>
        <v>0</v>
      </c>
      <c r="Y109" s="28">
        <f t="shared" si="290"/>
        <v>0</v>
      </c>
      <c r="Z109" s="28">
        <f t="shared" si="290"/>
        <v>0</v>
      </c>
      <c r="AA109" s="28">
        <f t="shared" si="290"/>
        <v>0</v>
      </c>
      <c r="AB109" s="30">
        <f t="shared" ref="AB109:AB111" si="291">SUM(P109:AA109)</f>
        <v>0</v>
      </c>
      <c r="AC109" s="28">
        <f t="shared" ref="AC109:AN109" si="292">-AC90*$B$97</f>
        <v>0</v>
      </c>
      <c r="AD109" s="28">
        <f t="shared" si="292"/>
        <v>0</v>
      </c>
      <c r="AE109" s="28">
        <f t="shared" si="292"/>
        <v>0</v>
      </c>
      <c r="AF109" s="28">
        <f t="shared" si="292"/>
        <v>0</v>
      </c>
      <c r="AG109" s="28">
        <f t="shared" si="292"/>
        <v>0</v>
      </c>
      <c r="AH109" s="28">
        <f t="shared" si="292"/>
        <v>0</v>
      </c>
      <c r="AI109" s="28">
        <f t="shared" si="292"/>
        <v>0</v>
      </c>
      <c r="AJ109" s="28">
        <f t="shared" si="292"/>
        <v>0</v>
      </c>
      <c r="AK109" s="28">
        <f t="shared" si="292"/>
        <v>0</v>
      </c>
      <c r="AL109" s="28">
        <f t="shared" si="292"/>
        <v>0</v>
      </c>
      <c r="AM109" s="28">
        <f t="shared" si="292"/>
        <v>0</v>
      </c>
      <c r="AN109" s="28">
        <f t="shared" si="292"/>
        <v>0</v>
      </c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</row>
    <row r="110" spans="1:62" ht="15.75" customHeight="1" outlineLevel="1">
      <c r="A110" s="28" t="s">
        <v>83</v>
      </c>
      <c r="B110" s="28"/>
      <c r="C110" s="28">
        <f>$H$12*SUM(C98:C107)</f>
        <v>52974.869999999995</v>
      </c>
      <c r="D110" s="28">
        <f t="shared" ref="D110:N110" si="293">$H$12*SUM(D98:D107)</f>
        <v>26487.434999999998</v>
      </c>
      <c r="E110" s="28">
        <f t="shared" si="293"/>
        <v>123608.03000000001</v>
      </c>
      <c r="F110" s="28">
        <f t="shared" si="293"/>
        <v>52974.869999999995</v>
      </c>
      <c r="G110" s="28">
        <f t="shared" si="293"/>
        <v>141266.32</v>
      </c>
      <c r="H110" s="28">
        <f t="shared" si="293"/>
        <v>52974.869999999995</v>
      </c>
      <c r="I110" s="28">
        <f t="shared" si="293"/>
        <v>162456.26800000001</v>
      </c>
      <c r="J110" s="28">
        <f t="shared" si="293"/>
        <v>63569.844000000012</v>
      </c>
      <c r="K110" s="28">
        <f t="shared" si="293"/>
        <v>194947.52159999998</v>
      </c>
      <c r="L110" s="28">
        <f t="shared" si="293"/>
        <v>76283.8128</v>
      </c>
      <c r="M110" s="28">
        <f t="shared" si="293"/>
        <v>233937.02591999999</v>
      </c>
      <c r="N110" s="28">
        <f t="shared" si="293"/>
        <v>91540.575360000017</v>
      </c>
      <c r="O110" s="30">
        <f>SUM(C110:N110)</f>
        <v>1273021.4426799999</v>
      </c>
      <c r="P110" s="28">
        <f t="shared" ref="P110:AA110" si="294">$H$12*SUM(P98:P100)</f>
        <v>36634.5216</v>
      </c>
      <c r="Q110" s="28">
        <f t="shared" si="294"/>
        <v>43692.19584</v>
      </c>
      <c r="R110" s="28">
        <f t="shared" si="294"/>
        <v>56289.599487999993</v>
      </c>
      <c r="S110" s="28">
        <f t="shared" si="294"/>
        <v>57728.698367999998</v>
      </c>
      <c r="T110" s="28">
        <f t="shared" si="294"/>
        <v>58291.624277333336</v>
      </c>
      <c r="U110" s="28">
        <f t="shared" si="294"/>
        <v>58010.16132266666</v>
      </c>
      <c r="V110" s="28">
        <f t="shared" si="294"/>
        <v>58150.892800000001</v>
      </c>
      <c r="W110" s="28">
        <f t="shared" si="294"/>
        <v>58080.527061333334</v>
      </c>
      <c r="X110" s="28">
        <f t="shared" si="294"/>
        <v>58115.709930666664</v>
      </c>
      <c r="Y110" s="28">
        <f t="shared" si="294"/>
        <v>58098.118496000003</v>
      </c>
      <c r="Z110" s="28">
        <f t="shared" si="294"/>
        <v>58106.91421333333</v>
      </c>
      <c r="AA110" s="28">
        <f t="shared" si="294"/>
        <v>58102.516354666674</v>
      </c>
      <c r="AB110" s="30">
        <f t="shared" si="291"/>
        <v>659301.47975199996</v>
      </c>
      <c r="AC110" s="28">
        <f t="shared" ref="AC110:AN110" si="295">$H$12*SUM(AC98:AC100)</f>
        <v>58104.715284000005</v>
      </c>
      <c r="AD110" s="28">
        <f t="shared" si="295"/>
        <v>62410.809426833344</v>
      </c>
      <c r="AE110" s="28">
        <f t="shared" si="295"/>
        <v>64564.543663666678</v>
      </c>
      <c r="AF110" s="28">
        <f t="shared" si="295"/>
        <v>66000</v>
      </c>
      <c r="AG110" s="28">
        <f t="shared" si="295"/>
        <v>66000</v>
      </c>
      <c r="AH110" s="28">
        <f t="shared" si="295"/>
        <v>66000</v>
      </c>
      <c r="AI110" s="28">
        <f t="shared" si="295"/>
        <v>66000</v>
      </c>
      <c r="AJ110" s="28">
        <f t="shared" si="295"/>
        <v>66000</v>
      </c>
      <c r="AK110" s="28">
        <f t="shared" si="295"/>
        <v>66000</v>
      </c>
      <c r="AL110" s="28">
        <f t="shared" si="295"/>
        <v>66000</v>
      </c>
      <c r="AM110" s="28">
        <f t="shared" si="295"/>
        <v>66000</v>
      </c>
      <c r="AN110" s="28">
        <f t="shared" si="295"/>
        <v>66000</v>
      </c>
      <c r="AO110" s="28">
        <f t="shared" ref="AO110:AO111" si="296">SUM(AC110:AN110)</f>
        <v>779080.06837450003</v>
      </c>
      <c r="AP110" s="28">
        <f t="shared" ref="AP110:AP111" si="297">AB110+O110+AO110</f>
        <v>2711402.9908065</v>
      </c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</row>
    <row r="111" spans="1:62" ht="15.75" customHeight="1" outlineLevel="1">
      <c r="A111" s="28" t="s">
        <v>84</v>
      </c>
      <c r="B111" s="28"/>
      <c r="C111" s="28">
        <f>$H$13*C97</f>
        <v>105949.73999999999</v>
      </c>
      <c r="D111" s="28">
        <f t="shared" ref="D111:N111" si="298">$H$13*D97</f>
        <v>52974.869999999995</v>
      </c>
      <c r="E111" s="28">
        <f t="shared" si="298"/>
        <v>247216.06000000003</v>
      </c>
      <c r="F111" s="28">
        <f t="shared" si="298"/>
        <v>105949.73999999999</v>
      </c>
      <c r="G111" s="28">
        <f t="shared" si="298"/>
        <v>282532.64</v>
      </c>
      <c r="H111" s="28">
        <f t="shared" si="298"/>
        <v>105949.73999999999</v>
      </c>
      <c r="I111" s="28">
        <f t="shared" si="298"/>
        <v>324912.53600000002</v>
      </c>
      <c r="J111" s="28">
        <f t="shared" si="298"/>
        <v>21634.559999999998</v>
      </c>
      <c r="K111" s="28">
        <f t="shared" si="298"/>
        <v>66345.983999999997</v>
      </c>
      <c r="L111" s="28">
        <f t="shared" si="298"/>
        <v>25961.472000000002</v>
      </c>
      <c r="M111" s="28">
        <f t="shared" si="298"/>
        <v>79615.180800000002</v>
      </c>
      <c r="N111" s="28">
        <f t="shared" si="298"/>
        <v>31153.7664</v>
      </c>
      <c r="O111" s="30">
        <f>SUM(C111:N111)</f>
        <v>1450196.2892000002</v>
      </c>
      <c r="P111" s="28">
        <f t="shared" ref="P111:AA111" si="299">$H$13*P97</f>
        <v>73269.0432</v>
      </c>
      <c r="Q111" s="28">
        <f t="shared" si="299"/>
        <v>87384.391680000001</v>
      </c>
      <c r="R111" s="28">
        <f t="shared" si="299"/>
        <v>112579.19897599999</v>
      </c>
      <c r="S111" s="28">
        <f t="shared" si="299"/>
        <v>115457.396736</v>
      </c>
      <c r="T111" s="28">
        <f t="shared" si="299"/>
        <v>116583.24855466667</v>
      </c>
      <c r="U111" s="28">
        <f t="shared" si="299"/>
        <v>116020.32264533332</v>
      </c>
      <c r="V111" s="28">
        <f t="shared" si="299"/>
        <v>116301.7856</v>
      </c>
      <c r="W111" s="28">
        <f t="shared" si="299"/>
        <v>116161.05412266667</v>
      </c>
      <c r="X111" s="28">
        <f t="shared" si="299"/>
        <v>116231.41986133333</v>
      </c>
      <c r="Y111" s="28">
        <f t="shared" si="299"/>
        <v>116196.23699200001</v>
      </c>
      <c r="Z111" s="28">
        <f t="shared" si="299"/>
        <v>116213.82842666666</v>
      </c>
      <c r="AA111" s="28">
        <f t="shared" si="299"/>
        <v>116205.03270933335</v>
      </c>
      <c r="AB111" s="30">
        <f t="shared" si="291"/>
        <v>1318602.9595039999</v>
      </c>
      <c r="AC111" s="28">
        <f t="shared" ref="AC111:AN111" si="300">$H$13*AC97</f>
        <v>116209.43056800001</v>
      </c>
      <c r="AD111" s="28">
        <f t="shared" si="300"/>
        <v>124821.61885366669</v>
      </c>
      <c r="AE111" s="28">
        <f t="shared" si="300"/>
        <v>129129.08732733336</v>
      </c>
      <c r="AF111" s="28">
        <f t="shared" si="300"/>
        <v>132000</v>
      </c>
      <c r="AG111" s="28">
        <f t="shared" si="300"/>
        <v>132000</v>
      </c>
      <c r="AH111" s="28">
        <f t="shared" si="300"/>
        <v>132000</v>
      </c>
      <c r="AI111" s="28">
        <f t="shared" si="300"/>
        <v>132000</v>
      </c>
      <c r="AJ111" s="28">
        <f t="shared" si="300"/>
        <v>132000</v>
      </c>
      <c r="AK111" s="28">
        <f t="shared" si="300"/>
        <v>132000</v>
      </c>
      <c r="AL111" s="28">
        <f t="shared" si="300"/>
        <v>132000</v>
      </c>
      <c r="AM111" s="28">
        <f t="shared" si="300"/>
        <v>132000</v>
      </c>
      <c r="AN111" s="28">
        <f t="shared" si="300"/>
        <v>132000</v>
      </c>
      <c r="AO111" s="28">
        <f t="shared" si="296"/>
        <v>1558160.1367490001</v>
      </c>
      <c r="AP111" s="28">
        <f t="shared" si="297"/>
        <v>4326959.3854530007</v>
      </c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</row>
    <row r="112" spans="1:62" ht="15.75" customHeight="1" outlineLevel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30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</row>
    <row r="113" spans="1:62" ht="22.8">
      <c r="A113" s="54" t="s">
        <v>85</v>
      </c>
      <c r="B113" s="55"/>
      <c r="C113" s="55">
        <f>IFERROR((C88-C94)/C88,0)</f>
        <v>0.59499999999999997</v>
      </c>
      <c r="D113" s="55">
        <f>IFERROR((D88-D94)/D88,0)</f>
        <v>0.71</v>
      </c>
      <c r="E113" s="55">
        <f>IFERROR((E88-E94)/E88,0)</f>
        <v>0.28833333333333333</v>
      </c>
      <c r="F113" s="55">
        <f>IFERROR((F88-F94)/F88,0)</f>
        <v>0.59499999999999997</v>
      </c>
      <c r="G113" s="55">
        <f>IFERROR((G88-G94)/G88,0)</f>
        <v>0.21166666666666667</v>
      </c>
      <c r="H113" s="55">
        <f>IFERROR((H88-H94)/H88,0)</f>
        <v>0.6333333333333333</v>
      </c>
      <c r="I113" s="55">
        <f>IFERROR((I88-I94)/I88,0)</f>
        <v>0.23722222222222222</v>
      </c>
      <c r="J113" s="55">
        <f>IFERROR((J88-J94)/J88,0)</f>
        <v>0.78546998793956446</v>
      </c>
      <c r="K113" s="55">
        <f>IFERROR((K88-K94)/K88,0)</f>
        <v>0.70377462968133131</v>
      </c>
      <c r="L113" s="55">
        <f>IFERROR((L88-L94)/L88,0)</f>
        <v>0.77982284335950225</v>
      </c>
      <c r="M113" s="55">
        <f>IFERROR((M88-M94)/M88,0)</f>
        <v>0.69305401870076877</v>
      </c>
      <c r="N113" s="55">
        <f>IFERROR((N88-N94)/N88,0)</f>
        <v>0.77582758460898205</v>
      </c>
      <c r="O113" s="55"/>
      <c r="P113" s="55">
        <f t="shared" ref="P113:AA113" si="301">IFERROR((P88-P94)/P88,0)</f>
        <v>0.4312103985979418</v>
      </c>
      <c r="Q113" s="55">
        <f t="shared" si="301"/>
        <v>0.39804224558077972</v>
      </c>
      <c r="R113" s="55">
        <f t="shared" si="301"/>
        <v>0.32494645845256404</v>
      </c>
      <c r="S113" s="55">
        <f t="shared" si="301"/>
        <v>0.3587837260683211</v>
      </c>
      <c r="T113" s="55">
        <f t="shared" si="301"/>
        <v>0.39703413017523714</v>
      </c>
      <c r="U113" s="55">
        <f t="shared" si="301"/>
        <v>0.43781870630623237</v>
      </c>
      <c r="V113" s="55">
        <f t="shared" si="301"/>
        <v>0.47216310211243501</v>
      </c>
      <c r="W113" s="55">
        <f t="shared" si="301"/>
        <v>0.50462732174789704</v>
      </c>
      <c r="X113" s="55">
        <f t="shared" si="301"/>
        <v>0.53357568431203373</v>
      </c>
      <c r="Y113" s="55">
        <f t="shared" si="301"/>
        <v>0.56014899772360927</v>
      </c>
      <c r="Z113" s="55">
        <f t="shared" si="301"/>
        <v>0.58418990983801833</v>
      </c>
      <c r="AA113" s="55">
        <f t="shared" si="301"/>
        <v>0.60609830518406171</v>
      </c>
      <c r="AB113" s="55"/>
      <c r="AC113" s="55">
        <f t="shared" ref="AC113:AN113" si="302">IFERROR((AC88-AC94)/AC88,0)</f>
        <v>0.44166666666666671</v>
      </c>
      <c r="AD113" s="55">
        <f t="shared" si="302"/>
        <v>0.4416666666666666</v>
      </c>
      <c r="AE113" s="55">
        <f t="shared" si="302"/>
        <v>0.44166666666666676</v>
      </c>
      <c r="AF113" s="55">
        <f t="shared" si="302"/>
        <v>0.44166666666666665</v>
      </c>
      <c r="AG113" s="55">
        <f t="shared" si="302"/>
        <v>0.44166666666666665</v>
      </c>
      <c r="AH113" s="55">
        <f t="shared" si="302"/>
        <v>0.44166666666666665</v>
      </c>
      <c r="AI113" s="55">
        <f t="shared" si="302"/>
        <v>0.44166666666666665</v>
      </c>
      <c r="AJ113" s="55">
        <f t="shared" si="302"/>
        <v>0.44166666666666665</v>
      </c>
      <c r="AK113" s="55">
        <f t="shared" si="302"/>
        <v>0.44166666666666665</v>
      </c>
      <c r="AL113" s="55">
        <f t="shared" si="302"/>
        <v>0.44166666666666665</v>
      </c>
      <c r="AM113" s="55">
        <f t="shared" si="302"/>
        <v>0.44166666666666665</v>
      </c>
      <c r="AN113" s="55">
        <f t="shared" si="302"/>
        <v>0.44166666666666665</v>
      </c>
      <c r="AO113" s="55"/>
      <c r="AP113" s="55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</row>
    <row r="114" spans="1:62" ht="22.8">
      <c r="A114" s="54"/>
      <c r="B114" s="55"/>
      <c r="C114" s="38">
        <f>C88-C94</f>
        <v>3152004.7649999997</v>
      </c>
      <c r="D114" s="38">
        <f>D88-D94</f>
        <v>3761215.77</v>
      </c>
      <c r="E114" s="38">
        <f>E88-E94</f>
        <v>1527442.085</v>
      </c>
      <c r="F114" s="38">
        <f>F88-F94</f>
        <v>3152004.7649999997</v>
      </c>
      <c r="G114" s="38">
        <f>G88-G94</f>
        <v>1121301.415</v>
      </c>
      <c r="H114" s="38">
        <f>H88-H94</f>
        <v>4026090.12</v>
      </c>
      <c r="I114" s="38">
        <f t="shared" ref="D114:N114" si="303">I88-I94</f>
        <v>1508017.966</v>
      </c>
      <c r="J114" s="38">
        <f t="shared" si="303"/>
        <v>5991864.5519999992</v>
      </c>
      <c r="K114" s="38">
        <f t="shared" si="303"/>
        <v>5368661.2103999993</v>
      </c>
      <c r="L114" s="38">
        <f t="shared" si="303"/>
        <v>6246225.2789999992</v>
      </c>
      <c r="M114" s="38">
        <f t="shared" si="303"/>
        <v>5828785.5332700005</v>
      </c>
      <c r="N114" s="38">
        <f t="shared" si="303"/>
        <v>6851182.0196295008</v>
      </c>
      <c r="O114" s="55"/>
      <c r="P114" s="38">
        <f t="shared" ref="P114:AA114" si="304">P88-P94</f>
        <v>922663.50335999997</v>
      </c>
      <c r="Q114" s="38">
        <f t="shared" si="304"/>
        <v>936862.74585600011</v>
      </c>
      <c r="R114" s="38">
        <f t="shared" si="304"/>
        <v>841300.78696960071</v>
      </c>
      <c r="S114" s="38">
        <f t="shared" si="304"/>
        <v>1021797.6702489606</v>
      </c>
      <c r="T114" s="38">
        <f t="shared" si="304"/>
        <v>1243806.1476055903</v>
      </c>
      <c r="U114" s="38">
        <f t="shared" si="304"/>
        <v>1508731.14616135</v>
      </c>
      <c r="V114" s="38">
        <f t="shared" si="304"/>
        <v>1789790.8078409515</v>
      </c>
      <c r="W114" s="38">
        <f t="shared" si="304"/>
        <v>2104135.3540543802</v>
      </c>
      <c r="X114" s="38">
        <f t="shared" si="304"/>
        <v>2447324.8957062182</v>
      </c>
      <c r="Y114" s="38">
        <f t="shared" si="304"/>
        <v>2826128.1211147071</v>
      </c>
      <c r="Z114" s="38">
        <f t="shared" si="304"/>
        <v>3242164.3042683126</v>
      </c>
      <c r="AA114" s="38">
        <f t="shared" si="304"/>
        <v>3700127.788135143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</row>
    <row r="115" spans="1:62" ht="22.8" collapsed="1">
      <c r="A115" s="43" t="s">
        <v>86</v>
      </c>
      <c r="B115" s="38"/>
      <c r="C115" s="38">
        <f>SUM(C116:C123)</f>
        <v>1261143.5</v>
      </c>
      <c r="D115" s="38">
        <f t="shared" ref="C115:N115" si="305">SUM(D116:D123)</f>
        <v>1015986</v>
      </c>
      <c r="E115" s="38">
        <f t="shared" si="305"/>
        <v>1506301</v>
      </c>
      <c r="F115" s="38">
        <f t="shared" si="305"/>
        <v>1015986</v>
      </c>
      <c r="G115" s="38">
        <f t="shared" si="305"/>
        <v>1506301</v>
      </c>
      <c r="H115" s="38">
        <f t="shared" si="305"/>
        <v>1015986</v>
      </c>
      <c r="I115" s="38">
        <f t="shared" si="305"/>
        <v>1604364</v>
      </c>
      <c r="J115" s="38">
        <f t="shared" si="305"/>
        <v>1015986</v>
      </c>
      <c r="K115" s="38">
        <f t="shared" si="305"/>
        <v>1722039.6</v>
      </c>
      <c r="L115" s="38">
        <f t="shared" si="305"/>
        <v>1015986</v>
      </c>
      <c r="M115" s="38">
        <f t="shared" si="305"/>
        <v>1863250.3199999998</v>
      </c>
      <c r="N115" s="38">
        <f t="shared" si="305"/>
        <v>1015986</v>
      </c>
      <c r="O115" s="38">
        <f t="shared" ref="O115:O123" si="306">SUM(B115:N115)</f>
        <v>15559315.42</v>
      </c>
      <c r="P115" s="38">
        <f t="shared" ref="P115:AA115" si="307">SUM(P116:P123)</f>
        <v>1282436</v>
      </c>
      <c r="Q115" s="38">
        <f t="shared" si="307"/>
        <v>1282436</v>
      </c>
      <c r="R115" s="38">
        <f t="shared" si="307"/>
        <v>1282436</v>
      </c>
      <c r="S115" s="38">
        <f t="shared" si="307"/>
        <v>1282436</v>
      </c>
      <c r="T115" s="38">
        <f t="shared" si="307"/>
        <v>1282436</v>
      </c>
      <c r="U115" s="38">
        <f t="shared" si="307"/>
        <v>1282436</v>
      </c>
      <c r="V115" s="38">
        <f t="shared" si="307"/>
        <v>1282436</v>
      </c>
      <c r="W115" s="38">
        <f t="shared" si="307"/>
        <v>1282436</v>
      </c>
      <c r="X115" s="38">
        <f t="shared" si="307"/>
        <v>1282436</v>
      </c>
      <c r="Y115" s="38">
        <f t="shared" si="307"/>
        <v>1282436</v>
      </c>
      <c r="Z115" s="38">
        <f t="shared" si="307"/>
        <v>1282436</v>
      </c>
      <c r="AA115" s="38">
        <f t="shared" si="307"/>
        <v>1282436</v>
      </c>
      <c r="AB115" s="38">
        <f t="shared" ref="AB115:AB116" si="308">SUM(P115:AA115)</f>
        <v>15389232</v>
      </c>
      <c r="AC115" s="38">
        <f t="shared" ref="AC115:AN115" si="309">SUM(AC116:AC123)</f>
        <v>1588536</v>
      </c>
      <c r="AD115" s="38">
        <f t="shared" si="309"/>
        <v>1588536</v>
      </c>
      <c r="AE115" s="38">
        <f t="shared" si="309"/>
        <v>1588536</v>
      </c>
      <c r="AF115" s="38">
        <f t="shared" si="309"/>
        <v>1588536</v>
      </c>
      <c r="AG115" s="38">
        <f t="shared" si="309"/>
        <v>1588536</v>
      </c>
      <c r="AH115" s="38">
        <f t="shared" si="309"/>
        <v>1588536</v>
      </c>
      <c r="AI115" s="38">
        <f t="shared" si="309"/>
        <v>1588536</v>
      </c>
      <c r="AJ115" s="38">
        <f t="shared" si="309"/>
        <v>1588536</v>
      </c>
      <c r="AK115" s="38">
        <f t="shared" si="309"/>
        <v>1588536</v>
      </c>
      <c r="AL115" s="38">
        <f t="shared" si="309"/>
        <v>1588536</v>
      </c>
      <c r="AM115" s="38">
        <f t="shared" si="309"/>
        <v>1588536</v>
      </c>
      <c r="AN115" s="38">
        <f t="shared" si="309"/>
        <v>1588536</v>
      </c>
      <c r="AO115" s="38">
        <f>SUM(AC115:AN115)</f>
        <v>19062432</v>
      </c>
      <c r="AP115" s="38">
        <f>B115+AO115+AB115+O115</f>
        <v>50010979.420000002</v>
      </c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</row>
    <row r="116" spans="1:62" ht="15.75" hidden="1" customHeight="1" outlineLevel="1">
      <c r="A116" s="28" t="s">
        <v>87</v>
      </c>
      <c r="B116" s="28"/>
      <c r="C116" s="28">
        <f t="shared" ref="C116:N116" si="310">$H$19</f>
        <v>183296</v>
      </c>
      <c r="D116" s="28">
        <f t="shared" si="310"/>
        <v>183296</v>
      </c>
      <c r="E116" s="28">
        <f t="shared" si="310"/>
        <v>183296</v>
      </c>
      <c r="F116" s="28">
        <f t="shared" si="310"/>
        <v>183296</v>
      </c>
      <c r="G116" s="28">
        <f t="shared" si="310"/>
        <v>183296</v>
      </c>
      <c r="H116" s="28">
        <f t="shared" si="310"/>
        <v>183296</v>
      </c>
      <c r="I116" s="28">
        <f t="shared" si="310"/>
        <v>183296</v>
      </c>
      <c r="J116" s="28">
        <f t="shared" si="310"/>
        <v>183296</v>
      </c>
      <c r="K116" s="28">
        <f t="shared" si="310"/>
        <v>183296</v>
      </c>
      <c r="L116" s="28">
        <f t="shared" si="310"/>
        <v>183296</v>
      </c>
      <c r="M116" s="28">
        <f t="shared" si="310"/>
        <v>183296</v>
      </c>
      <c r="N116" s="28">
        <f t="shared" si="310"/>
        <v>183296</v>
      </c>
      <c r="O116" s="30">
        <f t="shared" si="306"/>
        <v>2199552</v>
      </c>
      <c r="P116" s="28">
        <f t="shared" ref="P116:AA116" si="311">$H$19*2</f>
        <v>366592</v>
      </c>
      <c r="Q116" s="28">
        <f t="shared" si="311"/>
        <v>366592</v>
      </c>
      <c r="R116" s="28">
        <f t="shared" si="311"/>
        <v>366592</v>
      </c>
      <c r="S116" s="28">
        <f t="shared" si="311"/>
        <v>366592</v>
      </c>
      <c r="T116" s="28">
        <f t="shared" si="311"/>
        <v>366592</v>
      </c>
      <c r="U116" s="28">
        <f t="shared" si="311"/>
        <v>366592</v>
      </c>
      <c r="V116" s="28">
        <f t="shared" si="311"/>
        <v>366592</v>
      </c>
      <c r="W116" s="28">
        <f t="shared" si="311"/>
        <v>366592</v>
      </c>
      <c r="X116" s="28">
        <f t="shared" si="311"/>
        <v>366592</v>
      </c>
      <c r="Y116" s="28">
        <f t="shared" si="311"/>
        <v>366592</v>
      </c>
      <c r="Z116" s="28">
        <f t="shared" si="311"/>
        <v>366592</v>
      </c>
      <c r="AA116" s="28">
        <f t="shared" si="311"/>
        <v>366592</v>
      </c>
      <c r="AB116" s="30">
        <f t="shared" si="308"/>
        <v>4399104</v>
      </c>
      <c r="AC116" s="28">
        <f t="shared" ref="AC116:AN116" si="312">$H$19*3</f>
        <v>549888</v>
      </c>
      <c r="AD116" s="28">
        <f t="shared" si="312"/>
        <v>549888</v>
      </c>
      <c r="AE116" s="28">
        <f t="shared" si="312"/>
        <v>549888</v>
      </c>
      <c r="AF116" s="28">
        <f t="shared" si="312"/>
        <v>549888</v>
      </c>
      <c r="AG116" s="28">
        <f t="shared" si="312"/>
        <v>549888</v>
      </c>
      <c r="AH116" s="28">
        <f t="shared" si="312"/>
        <v>549888</v>
      </c>
      <c r="AI116" s="28">
        <f t="shared" si="312"/>
        <v>549888</v>
      </c>
      <c r="AJ116" s="28">
        <f t="shared" si="312"/>
        <v>549888</v>
      </c>
      <c r="AK116" s="28">
        <f t="shared" si="312"/>
        <v>549888</v>
      </c>
      <c r="AL116" s="28">
        <f t="shared" si="312"/>
        <v>549888</v>
      </c>
      <c r="AM116" s="28">
        <f t="shared" si="312"/>
        <v>549888</v>
      </c>
      <c r="AN116" s="28">
        <f t="shared" si="312"/>
        <v>549888</v>
      </c>
      <c r="AO116" s="28">
        <f>SUM(AC116:AN116)</f>
        <v>6598656</v>
      </c>
      <c r="AP116" s="28">
        <f>AB116+O116+AO116</f>
        <v>13197312</v>
      </c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</row>
    <row r="117" spans="1:62" ht="15.75" hidden="1" customHeight="1" outlineLevel="1">
      <c r="A117" s="28" t="s">
        <v>31</v>
      </c>
      <c r="B117" s="28"/>
      <c r="C117" s="28">
        <f t="shared" ref="C117:N117" si="313">$H$18</f>
        <v>372690</v>
      </c>
      <c r="D117" s="28">
        <f t="shared" si="313"/>
        <v>372690</v>
      </c>
      <c r="E117" s="28">
        <f t="shared" si="313"/>
        <v>372690</v>
      </c>
      <c r="F117" s="28">
        <f t="shared" si="313"/>
        <v>372690</v>
      </c>
      <c r="G117" s="28">
        <f t="shared" si="313"/>
        <v>372690</v>
      </c>
      <c r="H117" s="28">
        <f t="shared" si="313"/>
        <v>372690</v>
      </c>
      <c r="I117" s="28">
        <f t="shared" si="313"/>
        <v>372690</v>
      </c>
      <c r="J117" s="28">
        <f t="shared" si="313"/>
        <v>372690</v>
      </c>
      <c r="K117" s="28">
        <f t="shared" si="313"/>
        <v>372690</v>
      </c>
      <c r="L117" s="28">
        <f t="shared" si="313"/>
        <v>372690</v>
      </c>
      <c r="M117" s="28">
        <f t="shared" si="313"/>
        <v>372690</v>
      </c>
      <c r="N117" s="28">
        <f t="shared" si="313"/>
        <v>372690</v>
      </c>
      <c r="O117" s="30">
        <f t="shared" si="306"/>
        <v>4472280</v>
      </c>
      <c r="P117" s="28">
        <f t="shared" ref="P117:AA117" si="314">$H$18*1.1</f>
        <v>409959.00000000006</v>
      </c>
      <c r="Q117" s="28">
        <f t="shared" si="314"/>
        <v>409959.00000000006</v>
      </c>
      <c r="R117" s="28">
        <f t="shared" si="314"/>
        <v>409959.00000000006</v>
      </c>
      <c r="S117" s="28">
        <f t="shared" si="314"/>
        <v>409959.00000000006</v>
      </c>
      <c r="T117" s="28">
        <f t="shared" si="314"/>
        <v>409959.00000000006</v>
      </c>
      <c r="U117" s="28">
        <f t="shared" si="314"/>
        <v>409959.00000000006</v>
      </c>
      <c r="V117" s="28">
        <f t="shared" si="314"/>
        <v>409959.00000000006</v>
      </c>
      <c r="W117" s="28">
        <f t="shared" si="314"/>
        <v>409959.00000000006</v>
      </c>
      <c r="X117" s="28">
        <f t="shared" si="314"/>
        <v>409959.00000000006</v>
      </c>
      <c r="Y117" s="28">
        <f t="shared" si="314"/>
        <v>409959.00000000006</v>
      </c>
      <c r="Z117" s="28">
        <f t="shared" si="314"/>
        <v>409959.00000000006</v>
      </c>
      <c r="AA117" s="28">
        <f t="shared" si="314"/>
        <v>409959.00000000006</v>
      </c>
      <c r="AB117" s="30"/>
      <c r="AC117" s="28">
        <f t="shared" ref="AC117:AN117" si="315">$H$18*1.2</f>
        <v>447228</v>
      </c>
      <c r="AD117" s="28">
        <f t="shared" si="315"/>
        <v>447228</v>
      </c>
      <c r="AE117" s="28">
        <f t="shared" si="315"/>
        <v>447228</v>
      </c>
      <c r="AF117" s="28">
        <f t="shared" si="315"/>
        <v>447228</v>
      </c>
      <c r="AG117" s="28">
        <f t="shared" si="315"/>
        <v>447228</v>
      </c>
      <c r="AH117" s="28">
        <f t="shared" si="315"/>
        <v>447228</v>
      </c>
      <c r="AI117" s="28">
        <f t="shared" si="315"/>
        <v>447228</v>
      </c>
      <c r="AJ117" s="28">
        <f t="shared" si="315"/>
        <v>447228</v>
      </c>
      <c r="AK117" s="28">
        <f t="shared" si="315"/>
        <v>447228</v>
      </c>
      <c r="AL117" s="28">
        <f t="shared" si="315"/>
        <v>447228</v>
      </c>
      <c r="AM117" s="28">
        <f t="shared" si="315"/>
        <v>447228</v>
      </c>
      <c r="AN117" s="28">
        <f t="shared" si="315"/>
        <v>447228</v>
      </c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</row>
    <row r="118" spans="1:62" ht="15.75" hidden="1" customHeight="1" outlineLevel="1">
      <c r="A118" s="28" t="s">
        <v>35</v>
      </c>
      <c r="B118" s="28"/>
      <c r="C118" s="28">
        <f t="shared" ref="C118:N118" si="316">$H$20</f>
        <v>200000</v>
      </c>
      <c r="D118" s="28">
        <f t="shared" si="316"/>
        <v>200000</v>
      </c>
      <c r="E118" s="28">
        <f t="shared" si="316"/>
        <v>200000</v>
      </c>
      <c r="F118" s="28">
        <f t="shared" si="316"/>
        <v>200000</v>
      </c>
      <c r="G118" s="28">
        <f t="shared" si="316"/>
        <v>200000</v>
      </c>
      <c r="H118" s="28">
        <f t="shared" si="316"/>
        <v>200000</v>
      </c>
      <c r="I118" s="28">
        <f t="shared" si="316"/>
        <v>200000</v>
      </c>
      <c r="J118" s="28">
        <f t="shared" si="316"/>
        <v>200000</v>
      </c>
      <c r="K118" s="28">
        <f t="shared" si="316"/>
        <v>200000</v>
      </c>
      <c r="L118" s="28">
        <f t="shared" si="316"/>
        <v>200000</v>
      </c>
      <c r="M118" s="28">
        <f t="shared" si="316"/>
        <v>200000</v>
      </c>
      <c r="N118" s="28">
        <f t="shared" si="316"/>
        <v>200000</v>
      </c>
      <c r="O118" s="30">
        <f t="shared" si="306"/>
        <v>2400000</v>
      </c>
      <c r="P118" s="28">
        <f t="shared" ref="P118:AA118" si="317">$H$20*1.1</f>
        <v>220000.00000000003</v>
      </c>
      <c r="Q118" s="28">
        <f t="shared" si="317"/>
        <v>220000.00000000003</v>
      </c>
      <c r="R118" s="28">
        <f t="shared" si="317"/>
        <v>220000.00000000003</v>
      </c>
      <c r="S118" s="28">
        <f t="shared" si="317"/>
        <v>220000.00000000003</v>
      </c>
      <c r="T118" s="28">
        <f t="shared" si="317"/>
        <v>220000.00000000003</v>
      </c>
      <c r="U118" s="28">
        <f t="shared" si="317"/>
        <v>220000.00000000003</v>
      </c>
      <c r="V118" s="28">
        <f t="shared" si="317"/>
        <v>220000.00000000003</v>
      </c>
      <c r="W118" s="28">
        <f t="shared" si="317"/>
        <v>220000.00000000003</v>
      </c>
      <c r="X118" s="28">
        <f t="shared" si="317"/>
        <v>220000.00000000003</v>
      </c>
      <c r="Y118" s="28">
        <f t="shared" si="317"/>
        <v>220000.00000000003</v>
      </c>
      <c r="Z118" s="28">
        <f t="shared" si="317"/>
        <v>220000.00000000003</v>
      </c>
      <c r="AA118" s="28">
        <f t="shared" si="317"/>
        <v>220000.00000000003</v>
      </c>
      <c r="AB118" s="30">
        <f t="shared" ref="AB118:AB123" si="318">SUM(P118:AA118)</f>
        <v>2640000.0000000005</v>
      </c>
      <c r="AC118" s="28">
        <f t="shared" ref="AC118:AN118" si="319">$H$20*1.2</f>
        <v>240000</v>
      </c>
      <c r="AD118" s="28">
        <f t="shared" si="319"/>
        <v>240000</v>
      </c>
      <c r="AE118" s="28">
        <f t="shared" si="319"/>
        <v>240000</v>
      </c>
      <c r="AF118" s="28">
        <f t="shared" si="319"/>
        <v>240000</v>
      </c>
      <c r="AG118" s="28">
        <f t="shared" si="319"/>
        <v>240000</v>
      </c>
      <c r="AH118" s="28">
        <f t="shared" si="319"/>
        <v>240000</v>
      </c>
      <c r="AI118" s="28">
        <f t="shared" si="319"/>
        <v>240000</v>
      </c>
      <c r="AJ118" s="28">
        <f t="shared" si="319"/>
        <v>240000</v>
      </c>
      <c r="AK118" s="28">
        <f t="shared" si="319"/>
        <v>240000</v>
      </c>
      <c r="AL118" s="28">
        <f t="shared" si="319"/>
        <v>240000</v>
      </c>
      <c r="AM118" s="28">
        <f t="shared" si="319"/>
        <v>240000</v>
      </c>
      <c r="AN118" s="28">
        <f t="shared" si="319"/>
        <v>240000</v>
      </c>
      <c r="AO118" s="28">
        <f t="shared" ref="AO118:AO123" si="320">SUM(AC118:AN118)</f>
        <v>2880000</v>
      </c>
      <c r="AP118" s="28">
        <f t="shared" ref="AP118:AP123" si="321">AB118+O118+AO118</f>
        <v>7920000</v>
      </c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</row>
    <row r="119" spans="1:62" ht="15.75" hidden="1" customHeight="1" outlineLevel="1">
      <c r="A119" s="28" t="s">
        <v>36</v>
      </c>
      <c r="B119" s="28"/>
      <c r="C119" s="28">
        <f>$H$21</f>
        <v>5000</v>
      </c>
      <c r="D119" s="28">
        <f t="shared" ref="D119:M119" si="322">$H$21</f>
        <v>5000</v>
      </c>
      <c r="E119" s="28">
        <f t="shared" si="322"/>
        <v>5000</v>
      </c>
      <c r="F119" s="28">
        <f t="shared" si="322"/>
        <v>5000</v>
      </c>
      <c r="G119" s="28">
        <f t="shared" si="322"/>
        <v>5000</v>
      </c>
      <c r="H119" s="28">
        <f t="shared" si="322"/>
        <v>5000</v>
      </c>
      <c r="I119" s="28">
        <f t="shared" si="322"/>
        <v>5000</v>
      </c>
      <c r="J119" s="28">
        <f t="shared" si="322"/>
        <v>5000</v>
      </c>
      <c r="K119" s="28">
        <f t="shared" si="322"/>
        <v>5000</v>
      </c>
      <c r="L119" s="28">
        <f t="shared" si="322"/>
        <v>5000</v>
      </c>
      <c r="M119" s="28">
        <f t="shared" si="322"/>
        <v>5000</v>
      </c>
      <c r="N119" s="28">
        <f>$H$21</f>
        <v>5000</v>
      </c>
      <c r="O119" s="30">
        <f t="shared" si="306"/>
        <v>60000</v>
      </c>
      <c r="P119" s="28">
        <f>$H$21</f>
        <v>5000</v>
      </c>
      <c r="Q119" s="28">
        <f t="shared" ref="Q119:AA119" si="323">$H$21</f>
        <v>5000</v>
      </c>
      <c r="R119" s="28">
        <f t="shared" si="323"/>
        <v>5000</v>
      </c>
      <c r="S119" s="28">
        <f t="shared" si="323"/>
        <v>5000</v>
      </c>
      <c r="T119" s="28">
        <f t="shared" si="323"/>
        <v>5000</v>
      </c>
      <c r="U119" s="28">
        <f t="shared" si="323"/>
        <v>5000</v>
      </c>
      <c r="V119" s="28">
        <f t="shared" si="323"/>
        <v>5000</v>
      </c>
      <c r="W119" s="28">
        <f t="shared" si="323"/>
        <v>5000</v>
      </c>
      <c r="X119" s="28">
        <f t="shared" si="323"/>
        <v>5000</v>
      </c>
      <c r="Y119" s="28">
        <f t="shared" si="323"/>
        <v>5000</v>
      </c>
      <c r="Z119" s="28">
        <f t="shared" si="323"/>
        <v>5000</v>
      </c>
      <c r="AA119" s="28">
        <f t="shared" si="323"/>
        <v>5000</v>
      </c>
      <c r="AB119" s="30">
        <f t="shared" si="318"/>
        <v>60000</v>
      </c>
      <c r="AC119" s="28">
        <f>$H$21</f>
        <v>5000</v>
      </c>
      <c r="AD119" s="28">
        <f t="shared" ref="AD119:AN119" si="324">$H$21</f>
        <v>5000</v>
      </c>
      <c r="AE119" s="28">
        <f t="shared" si="324"/>
        <v>5000</v>
      </c>
      <c r="AF119" s="28">
        <f t="shared" si="324"/>
        <v>5000</v>
      </c>
      <c r="AG119" s="28">
        <f t="shared" si="324"/>
        <v>5000</v>
      </c>
      <c r="AH119" s="28">
        <f t="shared" si="324"/>
        <v>5000</v>
      </c>
      <c r="AI119" s="28">
        <f t="shared" si="324"/>
        <v>5000</v>
      </c>
      <c r="AJ119" s="28">
        <f t="shared" si="324"/>
        <v>5000</v>
      </c>
      <c r="AK119" s="28">
        <f t="shared" si="324"/>
        <v>5000</v>
      </c>
      <c r="AL119" s="28">
        <f t="shared" si="324"/>
        <v>5000</v>
      </c>
      <c r="AM119" s="28">
        <f t="shared" si="324"/>
        <v>5000</v>
      </c>
      <c r="AN119" s="28">
        <f t="shared" si="324"/>
        <v>5000</v>
      </c>
      <c r="AO119" s="28">
        <f t="shared" si="320"/>
        <v>60000</v>
      </c>
      <c r="AP119" s="28">
        <f t="shared" si="321"/>
        <v>180000</v>
      </c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</row>
    <row r="120" spans="1:62" ht="15.75" hidden="1" customHeight="1" outlineLevel="1">
      <c r="A120" s="28" t="s">
        <v>38</v>
      </c>
      <c r="B120" s="28"/>
      <c r="C120" s="28">
        <f>$H$22</f>
        <v>5000</v>
      </c>
      <c r="D120" s="28">
        <f t="shared" ref="D120:N120" si="325">$H$22</f>
        <v>5000</v>
      </c>
      <c r="E120" s="28">
        <f t="shared" si="325"/>
        <v>5000</v>
      </c>
      <c r="F120" s="28">
        <f t="shared" si="325"/>
        <v>5000</v>
      </c>
      <c r="G120" s="28">
        <f t="shared" si="325"/>
        <v>5000</v>
      </c>
      <c r="H120" s="28">
        <f t="shared" si="325"/>
        <v>5000</v>
      </c>
      <c r="I120" s="28">
        <f t="shared" si="325"/>
        <v>5000</v>
      </c>
      <c r="J120" s="28">
        <f t="shared" si="325"/>
        <v>5000</v>
      </c>
      <c r="K120" s="28">
        <f t="shared" si="325"/>
        <v>5000</v>
      </c>
      <c r="L120" s="28">
        <f t="shared" si="325"/>
        <v>5000</v>
      </c>
      <c r="M120" s="28">
        <f t="shared" si="325"/>
        <v>5000</v>
      </c>
      <c r="N120" s="28">
        <f t="shared" si="325"/>
        <v>5000</v>
      </c>
      <c r="O120" s="30">
        <f t="shared" si="306"/>
        <v>60000</v>
      </c>
      <c r="P120" s="28">
        <f t="shared" ref="P120:AA120" si="326">$H$22*1.1</f>
        <v>5500</v>
      </c>
      <c r="Q120" s="28">
        <f t="shared" si="326"/>
        <v>5500</v>
      </c>
      <c r="R120" s="28">
        <f t="shared" si="326"/>
        <v>5500</v>
      </c>
      <c r="S120" s="28">
        <f t="shared" si="326"/>
        <v>5500</v>
      </c>
      <c r="T120" s="28">
        <f t="shared" si="326"/>
        <v>5500</v>
      </c>
      <c r="U120" s="28">
        <f t="shared" si="326"/>
        <v>5500</v>
      </c>
      <c r="V120" s="28">
        <f t="shared" si="326"/>
        <v>5500</v>
      </c>
      <c r="W120" s="28">
        <f t="shared" si="326"/>
        <v>5500</v>
      </c>
      <c r="X120" s="28">
        <f t="shared" si="326"/>
        <v>5500</v>
      </c>
      <c r="Y120" s="28">
        <f t="shared" si="326"/>
        <v>5500</v>
      </c>
      <c r="Z120" s="28">
        <f t="shared" si="326"/>
        <v>5500</v>
      </c>
      <c r="AA120" s="28">
        <f t="shared" si="326"/>
        <v>5500</v>
      </c>
      <c r="AB120" s="30">
        <f t="shared" si="318"/>
        <v>66000</v>
      </c>
      <c r="AC120" s="28">
        <f t="shared" ref="AC120:AN120" si="327">$H$22*1.2</f>
        <v>6000</v>
      </c>
      <c r="AD120" s="28">
        <f t="shared" si="327"/>
        <v>6000</v>
      </c>
      <c r="AE120" s="28">
        <f t="shared" si="327"/>
        <v>6000</v>
      </c>
      <c r="AF120" s="28">
        <f t="shared" si="327"/>
        <v>6000</v>
      </c>
      <c r="AG120" s="28">
        <f t="shared" si="327"/>
        <v>6000</v>
      </c>
      <c r="AH120" s="28">
        <f t="shared" si="327"/>
        <v>6000</v>
      </c>
      <c r="AI120" s="28">
        <f t="shared" si="327"/>
        <v>6000</v>
      </c>
      <c r="AJ120" s="28">
        <f t="shared" si="327"/>
        <v>6000</v>
      </c>
      <c r="AK120" s="28">
        <f t="shared" si="327"/>
        <v>6000</v>
      </c>
      <c r="AL120" s="28">
        <f t="shared" si="327"/>
        <v>6000</v>
      </c>
      <c r="AM120" s="28">
        <f t="shared" si="327"/>
        <v>6000</v>
      </c>
      <c r="AN120" s="28">
        <f t="shared" si="327"/>
        <v>6000</v>
      </c>
      <c r="AO120" s="28">
        <f t="shared" si="320"/>
        <v>72000</v>
      </c>
      <c r="AP120" s="28">
        <f t="shared" si="321"/>
        <v>198000</v>
      </c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</row>
    <row r="121" spans="1:62" ht="15.75" hidden="1" customHeight="1" outlineLevel="1">
      <c r="A121" s="28" t="s">
        <v>40</v>
      </c>
      <c r="B121" s="28"/>
      <c r="C121" s="28">
        <f>$H23</f>
        <v>200000</v>
      </c>
      <c r="D121" s="28">
        <f t="shared" ref="D121:N121" si="328">$H23</f>
        <v>200000</v>
      </c>
      <c r="E121" s="28">
        <f t="shared" si="328"/>
        <v>200000</v>
      </c>
      <c r="F121" s="28">
        <f t="shared" si="328"/>
        <v>200000</v>
      </c>
      <c r="G121" s="28">
        <f t="shared" si="328"/>
        <v>200000</v>
      </c>
      <c r="H121" s="28">
        <f t="shared" si="328"/>
        <v>200000</v>
      </c>
      <c r="I121" s="28">
        <f t="shared" si="328"/>
        <v>200000</v>
      </c>
      <c r="J121" s="28">
        <f t="shared" si="328"/>
        <v>200000</v>
      </c>
      <c r="K121" s="28">
        <f t="shared" si="328"/>
        <v>200000</v>
      </c>
      <c r="L121" s="28">
        <f t="shared" si="328"/>
        <v>200000</v>
      </c>
      <c r="M121" s="28">
        <f t="shared" si="328"/>
        <v>200000</v>
      </c>
      <c r="N121" s="28">
        <f t="shared" si="328"/>
        <v>200000</v>
      </c>
      <c r="O121" s="30">
        <f t="shared" si="306"/>
        <v>2400000</v>
      </c>
      <c r="P121" s="28">
        <f t="shared" ref="P121:AA121" si="329">$H23*1.1</f>
        <v>220000.00000000003</v>
      </c>
      <c r="Q121" s="28">
        <f t="shared" si="329"/>
        <v>220000.00000000003</v>
      </c>
      <c r="R121" s="28">
        <f t="shared" si="329"/>
        <v>220000.00000000003</v>
      </c>
      <c r="S121" s="28">
        <f t="shared" si="329"/>
        <v>220000.00000000003</v>
      </c>
      <c r="T121" s="28">
        <f t="shared" si="329"/>
        <v>220000.00000000003</v>
      </c>
      <c r="U121" s="28">
        <f t="shared" si="329"/>
        <v>220000.00000000003</v>
      </c>
      <c r="V121" s="28">
        <f t="shared" si="329"/>
        <v>220000.00000000003</v>
      </c>
      <c r="W121" s="28">
        <f t="shared" si="329"/>
        <v>220000.00000000003</v>
      </c>
      <c r="X121" s="28">
        <f t="shared" si="329"/>
        <v>220000.00000000003</v>
      </c>
      <c r="Y121" s="28">
        <f t="shared" si="329"/>
        <v>220000.00000000003</v>
      </c>
      <c r="Z121" s="28">
        <f t="shared" si="329"/>
        <v>220000.00000000003</v>
      </c>
      <c r="AA121" s="28">
        <f t="shared" si="329"/>
        <v>220000.00000000003</v>
      </c>
      <c r="AB121" s="30">
        <f t="shared" si="318"/>
        <v>2640000.0000000005</v>
      </c>
      <c r="AC121" s="28">
        <f t="shared" ref="AC121:AN121" si="330">$H23*1.2</f>
        <v>240000</v>
      </c>
      <c r="AD121" s="28">
        <f t="shared" si="330"/>
        <v>240000</v>
      </c>
      <c r="AE121" s="28">
        <f t="shared" si="330"/>
        <v>240000</v>
      </c>
      <c r="AF121" s="28">
        <f t="shared" si="330"/>
        <v>240000</v>
      </c>
      <c r="AG121" s="28">
        <f t="shared" si="330"/>
        <v>240000</v>
      </c>
      <c r="AH121" s="28">
        <f t="shared" si="330"/>
        <v>240000</v>
      </c>
      <c r="AI121" s="28">
        <f t="shared" si="330"/>
        <v>240000</v>
      </c>
      <c r="AJ121" s="28">
        <f t="shared" si="330"/>
        <v>240000</v>
      </c>
      <c r="AK121" s="28">
        <f t="shared" si="330"/>
        <v>240000</v>
      </c>
      <c r="AL121" s="28">
        <f t="shared" si="330"/>
        <v>240000</v>
      </c>
      <c r="AM121" s="28">
        <f t="shared" si="330"/>
        <v>240000</v>
      </c>
      <c r="AN121" s="28">
        <f t="shared" si="330"/>
        <v>240000</v>
      </c>
      <c r="AO121" s="28">
        <f t="shared" si="320"/>
        <v>2880000</v>
      </c>
      <c r="AP121" s="28">
        <f t="shared" si="321"/>
        <v>7920000</v>
      </c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</row>
    <row r="122" spans="1:62" ht="15.75" hidden="1" customHeight="1" outlineLevel="1">
      <c r="A122" s="28" t="s">
        <v>88</v>
      </c>
      <c r="B122" s="28"/>
      <c r="C122" s="28">
        <f>$H24*(B41+B43+B45+B47+B49+B51+B53+B55+B57+B59)</f>
        <v>245157.50000000003</v>
      </c>
      <c r="D122" s="28">
        <f t="shared" ref="D122:N122" si="331">$H24*(C41+C43+C45+C47+C49+C51+C53+C55+C57+C59)</f>
        <v>0</v>
      </c>
      <c r="E122" s="28">
        <f t="shared" si="331"/>
        <v>490315.00000000006</v>
      </c>
      <c r="F122" s="28">
        <f t="shared" si="331"/>
        <v>0</v>
      </c>
      <c r="G122" s="28">
        <f t="shared" si="331"/>
        <v>490315.00000000006</v>
      </c>
      <c r="H122" s="28">
        <f t="shared" si="331"/>
        <v>0</v>
      </c>
      <c r="I122" s="28">
        <f t="shared" si="331"/>
        <v>588378</v>
      </c>
      <c r="J122" s="28">
        <f t="shared" si="331"/>
        <v>0</v>
      </c>
      <c r="K122" s="28">
        <f>$H24*(J41+J43+J45+J47+J49+J51+J53+J55+J57+J59)</f>
        <v>706053.6</v>
      </c>
      <c r="L122" s="28">
        <f t="shared" si="331"/>
        <v>0</v>
      </c>
      <c r="M122" s="28">
        <f t="shared" si="331"/>
        <v>847264.31999999983</v>
      </c>
      <c r="N122" s="28">
        <f t="shared" si="331"/>
        <v>0</v>
      </c>
      <c r="O122" s="30">
        <f t="shared" si="306"/>
        <v>3367483.42</v>
      </c>
      <c r="P122" s="28">
        <f t="shared" ref="P122:AA122" si="332">$H24*1.1</f>
        <v>385.00000000000006</v>
      </c>
      <c r="Q122" s="28">
        <f t="shared" si="332"/>
        <v>385.00000000000006</v>
      </c>
      <c r="R122" s="28">
        <f t="shared" si="332"/>
        <v>385.00000000000006</v>
      </c>
      <c r="S122" s="28">
        <f t="shared" si="332"/>
        <v>385.00000000000006</v>
      </c>
      <c r="T122" s="28">
        <f t="shared" si="332"/>
        <v>385.00000000000006</v>
      </c>
      <c r="U122" s="28">
        <f t="shared" si="332"/>
        <v>385.00000000000006</v>
      </c>
      <c r="V122" s="28">
        <f t="shared" si="332"/>
        <v>385.00000000000006</v>
      </c>
      <c r="W122" s="28">
        <f t="shared" si="332"/>
        <v>385.00000000000006</v>
      </c>
      <c r="X122" s="28">
        <f t="shared" si="332"/>
        <v>385.00000000000006</v>
      </c>
      <c r="Y122" s="28">
        <f t="shared" si="332"/>
        <v>385.00000000000006</v>
      </c>
      <c r="Z122" s="28">
        <f t="shared" si="332"/>
        <v>385.00000000000006</v>
      </c>
      <c r="AA122" s="28">
        <f t="shared" si="332"/>
        <v>385.00000000000006</v>
      </c>
      <c r="AB122" s="30">
        <f t="shared" si="318"/>
        <v>4620.0000000000009</v>
      </c>
      <c r="AC122" s="28">
        <f t="shared" ref="AC122:AN122" si="333">$H24*1.2</f>
        <v>420</v>
      </c>
      <c r="AD122" s="28">
        <f t="shared" si="333"/>
        <v>420</v>
      </c>
      <c r="AE122" s="28">
        <f t="shared" si="333"/>
        <v>420</v>
      </c>
      <c r="AF122" s="28">
        <f t="shared" si="333"/>
        <v>420</v>
      </c>
      <c r="AG122" s="28">
        <f t="shared" si="333"/>
        <v>420</v>
      </c>
      <c r="AH122" s="28">
        <f t="shared" si="333"/>
        <v>420</v>
      </c>
      <c r="AI122" s="28">
        <f t="shared" si="333"/>
        <v>420</v>
      </c>
      <c r="AJ122" s="28">
        <f t="shared" si="333"/>
        <v>420</v>
      </c>
      <c r="AK122" s="28">
        <f t="shared" si="333"/>
        <v>420</v>
      </c>
      <c r="AL122" s="28">
        <f t="shared" si="333"/>
        <v>420</v>
      </c>
      <c r="AM122" s="28">
        <f t="shared" si="333"/>
        <v>420</v>
      </c>
      <c r="AN122" s="28">
        <f t="shared" si="333"/>
        <v>420</v>
      </c>
      <c r="AO122" s="28">
        <f t="shared" si="320"/>
        <v>5040</v>
      </c>
      <c r="AP122" s="28">
        <f t="shared" si="321"/>
        <v>3377143.42</v>
      </c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</row>
    <row r="123" spans="1:62" ht="15.75" hidden="1" customHeight="1" outlineLevel="1">
      <c r="A123" s="28" t="s">
        <v>42</v>
      </c>
      <c r="B123" s="28"/>
      <c r="C123" s="28">
        <f>$H25</f>
        <v>50000</v>
      </c>
      <c r="D123" s="28">
        <f>$H25</f>
        <v>50000</v>
      </c>
      <c r="E123" s="28">
        <f t="shared" ref="E123:N123" si="334">$H25</f>
        <v>50000</v>
      </c>
      <c r="F123" s="28">
        <f t="shared" si="334"/>
        <v>50000</v>
      </c>
      <c r="G123" s="28">
        <f t="shared" si="334"/>
        <v>50000</v>
      </c>
      <c r="H123" s="28">
        <f t="shared" si="334"/>
        <v>50000</v>
      </c>
      <c r="I123" s="28">
        <f t="shared" si="334"/>
        <v>50000</v>
      </c>
      <c r="J123" s="28">
        <f t="shared" si="334"/>
        <v>50000</v>
      </c>
      <c r="K123" s="28">
        <f t="shared" si="334"/>
        <v>50000</v>
      </c>
      <c r="L123" s="28">
        <f t="shared" si="334"/>
        <v>50000</v>
      </c>
      <c r="M123" s="28">
        <f t="shared" si="334"/>
        <v>50000</v>
      </c>
      <c r="N123" s="28">
        <f t="shared" si="334"/>
        <v>50000</v>
      </c>
      <c r="O123" s="30">
        <f t="shared" si="306"/>
        <v>600000</v>
      </c>
      <c r="P123" s="28">
        <f t="shared" ref="P123:AA123" si="335">$H25*1.1</f>
        <v>55000.000000000007</v>
      </c>
      <c r="Q123" s="28">
        <f t="shared" si="335"/>
        <v>55000.000000000007</v>
      </c>
      <c r="R123" s="28">
        <f t="shared" si="335"/>
        <v>55000.000000000007</v>
      </c>
      <c r="S123" s="28">
        <f t="shared" si="335"/>
        <v>55000.000000000007</v>
      </c>
      <c r="T123" s="28">
        <f t="shared" si="335"/>
        <v>55000.000000000007</v>
      </c>
      <c r="U123" s="28">
        <f t="shared" si="335"/>
        <v>55000.000000000007</v>
      </c>
      <c r="V123" s="28">
        <f t="shared" si="335"/>
        <v>55000.000000000007</v>
      </c>
      <c r="W123" s="28">
        <f t="shared" si="335"/>
        <v>55000.000000000007</v>
      </c>
      <c r="X123" s="28">
        <f t="shared" si="335"/>
        <v>55000.000000000007</v>
      </c>
      <c r="Y123" s="28">
        <f t="shared" si="335"/>
        <v>55000.000000000007</v>
      </c>
      <c r="Z123" s="28">
        <f t="shared" si="335"/>
        <v>55000.000000000007</v>
      </c>
      <c r="AA123" s="28">
        <f t="shared" si="335"/>
        <v>55000.000000000007</v>
      </c>
      <c r="AB123" s="30">
        <f t="shared" si="318"/>
        <v>660000.00000000012</v>
      </c>
      <c r="AC123" s="28">
        <f t="shared" ref="AC123:AN123" si="336">$H25*2</f>
        <v>100000</v>
      </c>
      <c r="AD123" s="28">
        <f t="shared" si="336"/>
        <v>100000</v>
      </c>
      <c r="AE123" s="28">
        <f t="shared" si="336"/>
        <v>100000</v>
      </c>
      <c r="AF123" s="28">
        <f t="shared" si="336"/>
        <v>100000</v>
      </c>
      <c r="AG123" s="28">
        <f t="shared" si="336"/>
        <v>100000</v>
      </c>
      <c r="AH123" s="28">
        <f t="shared" si="336"/>
        <v>100000</v>
      </c>
      <c r="AI123" s="28">
        <f t="shared" si="336"/>
        <v>100000</v>
      </c>
      <c r="AJ123" s="28">
        <f t="shared" si="336"/>
        <v>100000</v>
      </c>
      <c r="AK123" s="28">
        <f t="shared" si="336"/>
        <v>100000</v>
      </c>
      <c r="AL123" s="28">
        <f t="shared" si="336"/>
        <v>100000</v>
      </c>
      <c r="AM123" s="28">
        <f t="shared" si="336"/>
        <v>100000</v>
      </c>
      <c r="AN123" s="28">
        <f t="shared" si="336"/>
        <v>100000</v>
      </c>
      <c r="AO123" s="28">
        <f t="shared" si="320"/>
        <v>1200000</v>
      </c>
      <c r="AP123" s="28">
        <f t="shared" si="321"/>
        <v>2460000</v>
      </c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</row>
    <row r="124" spans="1:62" ht="15.75" hidden="1" customHeight="1" outlineLevel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30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30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</row>
    <row r="125" spans="1:62" ht="36.6">
      <c r="A125" s="43" t="s">
        <v>89</v>
      </c>
      <c r="B125" s="38"/>
      <c r="C125" s="38">
        <f>C88-C94-C115</f>
        <v>1890861.2649999997</v>
      </c>
      <c r="D125" s="38">
        <f t="shared" ref="D125:N125" si="337">D88-D94-D115</f>
        <v>2745229.77</v>
      </c>
      <c r="E125" s="38">
        <f>E88-E94-E115</f>
        <v>21141.084999999963</v>
      </c>
      <c r="F125" s="38">
        <f>F88-F94-F115</f>
        <v>2136018.7649999997</v>
      </c>
      <c r="G125" s="38">
        <f>G88-G94-G115</f>
        <v>-384999.58499999996</v>
      </c>
      <c r="H125" s="38">
        <f>H88-H94-H115</f>
        <v>3010104.12</v>
      </c>
      <c r="I125" s="38">
        <f>I88-I94-I115</f>
        <v>-96346.033999999985</v>
      </c>
      <c r="J125" s="38">
        <f>J88-J94-J115</f>
        <v>4975878.5519999992</v>
      </c>
      <c r="K125" s="38">
        <f>K88-K94-K115</f>
        <v>3646621.6103999992</v>
      </c>
      <c r="L125" s="38">
        <f>L88-L94-L115</f>
        <v>5230239.2789999992</v>
      </c>
      <c r="M125" s="38">
        <f>M88-M94-M115</f>
        <v>3965535.2132700006</v>
      </c>
      <c r="N125" s="38">
        <f t="shared" si="337"/>
        <v>5835196.0196295008</v>
      </c>
      <c r="O125" s="38">
        <f>SUM(B125:N125)</f>
        <v>32975480.060299501</v>
      </c>
      <c r="P125" s="38">
        <f t="shared" ref="P125:AA125" si="338">P88-P94-P115</f>
        <v>-359772.49664000003</v>
      </c>
      <c r="Q125" s="38">
        <f t="shared" si="338"/>
        <v>-345573.25414399989</v>
      </c>
      <c r="R125" s="38">
        <f t="shared" si="338"/>
        <v>-441135.21303039929</v>
      </c>
      <c r="S125" s="38">
        <f t="shared" si="338"/>
        <v>-260638.32975103939</v>
      </c>
      <c r="T125" s="38">
        <f t="shared" si="338"/>
        <v>-38629.852394409711</v>
      </c>
      <c r="U125" s="38">
        <f t="shared" si="338"/>
        <v>226295.14616134996</v>
      </c>
      <c r="V125" s="38">
        <f t="shared" si="338"/>
        <v>507354.80784095149</v>
      </c>
      <c r="W125" s="38">
        <f t="shared" si="338"/>
        <v>821699.35405438021</v>
      </c>
      <c r="X125" s="38">
        <f t="shared" si="338"/>
        <v>1164888.8957062182</v>
      </c>
      <c r="Y125" s="38">
        <f t="shared" si="338"/>
        <v>1543692.1211147071</v>
      </c>
      <c r="Z125" s="38">
        <f t="shared" si="338"/>
        <v>1959728.3042683126</v>
      </c>
      <c r="AA125" s="38">
        <f t="shared" si="338"/>
        <v>2417691.788135143</v>
      </c>
      <c r="AB125" s="38">
        <f t="shared" ref="AB125:AB126" si="339">SUM(P125:AA125)</f>
        <v>7195601.2713212147</v>
      </c>
      <c r="AC125" s="38">
        <f t="shared" ref="AC125:AN125" si="340">AC88-AC94-AC115</f>
        <v>-48761.044973999728</v>
      </c>
      <c r="AD125" s="38">
        <f t="shared" si="340"/>
        <v>65350.449811083032</v>
      </c>
      <c r="AE125" s="38">
        <f t="shared" si="340"/>
        <v>122424.40708716726</v>
      </c>
      <c r="AF125" s="38">
        <f t="shared" si="340"/>
        <v>160464</v>
      </c>
      <c r="AG125" s="38">
        <f t="shared" si="340"/>
        <v>160464</v>
      </c>
      <c r="AH125" s="38">
        <f t="shared" si="340"/>
        <v>160464</v>
      </c>
      <c r="AI125" s="38">
        <f t="shared" si="340"/>
        <v>160464</v>
      </c>
      <c r="AJ125" s="38">
        <f t="shared" si="340"/>
        <v>160464</v>
      </c>
      <c r="AK125" s="38">
        <f t="shared" si="340"/>
        <v>160464</v>
      </c>
      <c r="AL125" s="38">
        <f t="shared" si="340"/>
        <v>160464</v>
      </c>
      <c r="AM125" s="38">
        <f t="shared" si="340"/>
        <v>160464</v>
      </c>
      <c r="AN125" s="38">
        <f t="shared" si="340"/>
        <v>160464</v>
      </c>
      <c r="AO125" s="38">
        <f>SUM(AC125:AN125)</f>
        <v>1583189.8119242506</v>
      </c>
      <c r="AP125" s="38">
        <f>B125+AO125+AB125+O125</f>
        <v>41754271.143544964</v>
      </c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</row>
    <row r="126" spans="1:62" ht="15.75" customHeight="1">
      <c r="A126" s="28" t="s">
        <v>90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59">
        <f>SUM(B126:N126)</f>
        <v>0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59">
        <f t="shared" si="339"/>
        <v>0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60">
        <f t="shared" ref="AO126:AO127" si="341">SUM(AC126:AN126)</f>
        <v>0</v>
      </c>
      <c r="AP126" s="60">
        <f t="shared" ref="AP126:AP127" si="342">AB126+O126+AO126</f>
        <v>0</v>
      </c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</row>
    <row r="127" spans="1:62" ht="15.75" customHeight="1">
      <c r="A127" s="28" t="s">
        <v>91</v>
      </c>
      <c r="B127" s="52">
        <f>$H$14</f>
        <v>0.03</v>
      </c>
      <c r="C127" s="28">
        <f>$B$127*C89</f>
        <v>158924.60999999999</v>
      </c>
      <c r="D127" s="28">
        <f>$B$127*D89</f>
        <v>158924.60999999999</v>
      </c>
      <c r="E127" s="28">
        <f>$B$127*E89</f>
        <v>158924.60999999999</v>
      </c>
      <c r="F127" s="28">
        <f>$B$127*F89</f>
        <v>158924.60999999999</v>
      </c>
      <c r="G127" s="28">
        <f>$B$127*G89</f>
        <v>158924.60999999999</v>
      </c>
      <c r="H127" s="28">
        <f>$B$127*H89</f>
        <v>190709.53200000001</v>
      </c>
      <c r="I127" s="28">
        <f>$B$127*I89</f>
        <v>190709.53200000001</v>
      </c>
      <c r="J127" s="28">
        <f>$B$127*J89</f>
        <v>228851.43839999998</v>
      </c>
      <c r="K127" s="28">
        <f t="shared" ref="D127:M127" si="343">$B$127*K89</f>
        <v>228851.43839999998</v>
      </c>
      <c r="L127" s="28">
        <f t="shared" si="343"/>
        <v>240294.01031999997</v>
      </c>
      <c r="M127" s="28">
        <f t="shared" si="343"/>
        <v>252308.71083600001</v>
      </c>
      <c r="N127" s="28">
        <f>$B$127*N89</f>
        <v>264924.14637780003</v>
      </c>
      <c r="O127" s="28">
        <f>SUM(C127:N127)</f>
        <v>2391271.8583337995</v>
      </c>
      <c r="P127" s="28">
        <f t="shared" ref="P127:AN127" si="344">$B$127*P89</f>
        <v>64191.181823999999</v>
      </c>
      <c r="Q127" s="28">
        <f t="shared" si="344"/>
        <v>70610.300006400008</v>
      </c>
      <c r="R127" s="28">
        <f t="shared" si="344"/>
        <v>77671.330007040015</v>
      </c>
      <c r="S127" s="28">
        <f t="shared" si="344"/>
        <v>85438.463007744023</v>
      </c>
      <c r="T127" s="28">
        <f t="shared" si="344"/>
        <v>93982.309308518437</v>
      </c>
      <c r="U127" s="28">
        <f t="shared" si="344"/>
        <v>103380.54023937028</v>
      </c>
      <c r="V127" s="28">
        <f t="shared" si="344"/>
        <v>113718.59426330733</v>
      </c>
      <c r="W127" s="28">
        <f t="shared" si="344"/>
        <v>125090.45368963806</v>
      </c>
      <c r="X127" s="28">
        <f t="shared" si="344"/>
        <v>137599.49905860188</v>
      </c>
      <c r="Y127" s="28">
        <f t="shared" si="344"/>
        <v>151359.44896446206</v>
      </c>
      <c r="Z127" s="28">
        <f t="shared" si="344"/>
        <v>166495.39386090831</v>
      </c>
      <c r="AA127" s="28">
        <f t="shared" si="344"/>
        <v>183144.93324699914</v>
      </c>
      <c r="AB127" s="28">
        <f>SUM(P127:AA127)</f>
        <v>1372682.4474769894</v>
      </c>
      <c r="AC127" s="28">
        <f t="shared" si="344"/>
        <v>104588.4875112</v>
      </c>
      <c r="AD127" s="28">
        <f t="shared" si="344"/>
        <v>112339.4569683</v>
      </c>
      <c r="AE127" s="28">
        <f t="shared" si="344"/>
        <v>116216.17859460002</v>
      </c>
      <c r="AF127" s="28">
        <f t="shared" si="344"/>
        <v>118800</v>
      </c>
      <c r="AG127" s="28">
        <f t="shared" si="344"/>
        <v>118800</v>
      </c>
      <c r="AH127" s="28">
        <f t="shared" si="344"/>
        <v>118800</v>
      </c>
      <c r="AI127" s="28">
        <f t="shared" si="344"/>
        <v>118800</v>
      </c>
      <c r="AJ127" s="28">
        <f t="shared" si="344"/>
        <v>118800</v>
      </c>
      <c r="AK127" s="28">
        <f t="shared" si="344"/>
        <v>118800</v>
      </c>
      <c r="AL127" s="28">
        <f t="shared" si="344"/>
        <v>118800</v>
      </c>
      <c r="AM127" s="28">
        <f t="shared" si="344"/>
        <v>118800</v>
      </c>
      <c r="AN127" s="28">
        <f t="shared" si="344"/>
        <v>118800</v>
      </c>
      <c r="AO127" s="60">
        <f t="shared" si="341"/>
        <v>1402344.1230740999</v>
      </c>
      <c r="AP127" s="60">
        <f t="shared" si="342"/>
        <v>5166298.4288848881</v>
      </c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</row>
    <row r="128" spans="1:62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30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30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</row>
    <row r="129" spans="1:62" ht="22.8">
      <c r="A129" s="43" t="s">
        <v>92</v>
      </c>
      <c r="B129" s="38"/>
      <c r="C129" s="38">
        <f>C125-C126-C127</f>
        <v>1731936.6549999998</v>
      </c>
      <c r="D129" s="38">
        <f>D125-D126-D127</f>
        <v>2586305.16</v>
      </c>
      <c r="E129" s="38">
        <f>E125-E126-E127</f>
        <v>-137783.52500000002</v>
      </c>
      <c r="F129" s="38">
        <f>F125-F126-F127</f>
        <v>1977094.1549999998</v>
      </c>
      <c r="G129" s="38">
        <f>G125-G126-G127</f>
        <v>-543924.19499999995</v>
      </c>
      <c r="H129" s="38">
        <f>H125-H126-H127</f>
        <v>2819394.588</v>
      </c>
      <c r="I129" s="38">
        <f>I125-I126-I127</f>
        <v>-287055.56599999999</v>
      </c>
      <c r="J129" s="38">
        <f>J125-J126-J127</f>
        <v>4747027.1135999989</v>
      </c>
      <c r="K129" s="38">
        <f>K125-K126-K127</f>
        <v>3417770.1719999993</v>
      </c>
      <c r="L129" s="38">
        <f>L125-L126-L127</f>
        <v>4989945.2686799988</v>
      </c>
      <c r="M129" s="38">
        <f>M125-M126-M127</f>
        <v>3713226.5024340008</v>
      </c>
      <c r="N129" s="38">
        <f>N125-N126-N127</f>
        <v>5570271.8732517008</v>
      </c>
      <c r="O129" s="38">
        <f>SUM(C129:N129)</f>
        <v>30584208.201965697</v>
      </c>
      <c r="P129" s="38">
        <f t="shared" ref="P129:AA129" si="345">P125-P126-P127</f>
        <v>-423963.678464</v>
      </c>
      <c r="Q129" s="38">
        <f t="shared" si="345"/>
        <v>-416183.55415039987</v>
      </c>
      <c r="R129" s="38">
        <f t="shared" si="345"/>
        <v>-518806.54303743929</v>
      </c>
      <c r="S129" s="38">
        <f t="shared" si="345"/>
        <v>-346076.79275878344</v>
      </c>
      <c r="T129" s="38">
        <f t="shared" si="345"/>
        <v>-132612.16170292813</v>
      </c>
      <c r="U129" s="38">
        <f t="shared" si="345"/>
        <v>122914.60592197967</v>
      </c>
      <c r="V129" s="38">
        <f t="shared" si="345"/>
        <v>393636.21357764414</v>
      </c>
      <c r="W129" s="38">
        <f t="shared" si="345"/>
        <v>696608.90036474215</v>
      </c>
      <c r="X129" s="38">
        <f t="shared" si="345"/>
        <v>1027289.3966476163</v>
      </c>
      <c r="Y129" s="38">
        <f t="shared" si="345"/>
        <v>1392332.6721502449</v>
      </c>
      <c r="Z129" s="38">
        <f t="shared" si="345"/>
        <v>1793232.9104074044</v>
      </c>
      <c r="AA129" s="38">
        <f t="shared" si="345"/>
        <v>2234546.8548881439</v>
      </c>
      <c r="AB129" s="38">
        <f>SUM(P129:AA129)</f>
        <v>5822918.8238442251</v>
      </c>
      <c r="AC129" s="38">
        <f t="shared" ref="AC129:AN129" si="346">AC125-AC126-AC127</f>
        <v>-153349.53248519974</v>
      </c>
      <c r="AD129" s="38">
        <f t="shared" si="346"/>
        <v>-46989.007157216969</v>
      </c>
      <c r="AE129" s="38">
        <f t="shared" si="346"/>
        <v>6208.2284925672429</v>
      </c>
      <c r="AF129" s="38">
        <f t="shared" si="346"/>
        <v>41664</v>
      </c>
      <c r="AG129" s="38">
        <f t="shared" si="346"/>
        <v>41664</v>
      </c>
      <c r="AH129" s="38">
        <f t="shared" si="346"/>
        <v>41664</v>
      </c>
      <c r="AI129" s="38">
        <f t="shared" si="346"/>
        <v>41664</v>
      </c>
      <c r="AJ129" s="38">
        <f t="shared" si="346"/>
        <v>41664</v>
      </c>
      <c r="AK129" s="38">
        <f t="shared" si="346"/>
        <v>41664</v>
      </c>
      <c r="AL129" s="38">
        <f t="shared" si="346"/>
        <v>41664</v>
      </c>
      <c r="AM129" s="38">
        <f t="shared" si="346"/>
        <v>41664</v>
      </c>
      <c r="AN129" s="38">
        <f t="shared" si="346"/>
        <v>41664</v>
      </c>
      <c r="AO129" s="38">
        <f>SUM(AC129:AN129)</f>
        <v>180845.68885015056</v>
      </c>
      <c r="AP129" s="38">
        <f>B129+AO129+AB129+O129</f>
        <v>36587972.714660071</v>
      </c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</row>
    <row r="130" spans="1:62" ht="24.45" customHeight="1">
      <c r="A130" s="52" t="s">
        <v>93</v>
      </c>
      <c r="B130" s="52"/>
      <c r="C130" s="52">
        <f t="shared" ref="C130:N130" si="347">IFERROR(C129/C88,0)</f>
        <v>0.32693551772755647</v>
      </c>
      <c r="D130" s="52">
        <f t="shared" si="347"/>
        <v>0.48821359259588559</v>
      </c>
      <c r="E130" s="52">
        <f t="shared" si="347"/>
        <v>-2.6009223807439266E-2</v>
      </c>
      <c r="F130" s="52">
        <f t="shared" si="347"/>
        <v>0.37321359259588555</v>
      </c>
      <c r="G130" s="52">
        <f t="shared" si="347"/>
        <v>-0.10267589047410593</v>
      </c>
      <c r="H130" s="52">
        <f t="shared" si="347"/>
        <v>0.44351132716323793</v>
      </c>
      <c r="I130" s="52">
        <f t="shared" si="347"/>
        <v>-4.5155933684531295E-2</v>
      </c>
      <c r="J130" s="52">
        <f t="shared" si="347"/>
        <v>0.6222849827978183</v>
      </c>
      <c r="K130" s="52">
        <f t="shared" si="347"/>
        <v>0.44803347480292693</v>
      </c>
      <c r="L130" s="52">
        <f t="shared" si="347"/>
        <v>0.62297998131974397</v>
      </c>
      <c r="M130" s="52">
        <f t="shared" si="347"/>
        <v>0.44150990548014662</v>
      </c>
      <c r="N130" s="52">
        <f t="shared" si="347"/>
        <v>0.63077736960693387</v>
      </c>
      <c r="O130" s="61"/>
      <c r="P130" s="52">
        <f t="shared" ref="P130:AN130" si="348">IFERROR(P129/P88,0)</f>
        <v>-0.19814108406342837</v>
      </c>
      <c r="Q130" s="52">
        <f t="shared" si="348"/>
        <v>-0.17682273865682951</v>
      </c>
      <c r="R130" s="52">
        <f t="shared" si="348"/>
        <v>-0.2003853453998079</v>
      </c>
      <c r="S130" s="52">
        <f t="shared" si="348"/>
        <v>-0.12151791379747158</v>
      </c>
      <c r="T130" s="52">
        <f t="shared" si="348"/>
        <v>-4.2330996975483447E-2</v>
      </c>
      <c r="U130" s="52">
        <f t="shared" si="348"/>
        <v>3.5668590714668248E-2</v>
      </c>
      <c r="V130" s="52">
        <f t="shared" si="348"/>
        <v>0.1038448152110131</v>
      </c>
      <c r="W130" s="52">
        <f t="shared" si="348"/>
        <v>0.16706524274660445</v>
      </c>
      <c r="X130" s="52">
        <f t="shared" si="348"/>
        <v>0.22397379431085868</v>
      </c>
      <c r="Y130" s="52">
        <f t="shared" si="348"/>
        <v>0.2759654613589046</v>
      </c>
      <c r="Z130" s="52">
        <f t="shared" si="348"/>
        <v>0.32311396768828687</v>
      </c>
      <c r="AA130" s="52">
        <f t="shared" si="348"/>
        <v>0.36602926686612403</v>
      </c>
      <c r="AB130" s="52">
        <f t="shared" si="348"/>
        <v>0.12725999741338945</v>
      </c>
      <c r="AC130" s="52">
        <f t="shared" si="348"/>
        <v>-4.3986542725970128E-2</v>
      </c>
      <c r="AD130" s="52">
        <f t="shared" si="348"/>
        <v>-1.2548308962489381E-2</v>
      </c>
      <c r="AE130" s="52">
        <f t="shared" si="348"/>
        <v>1.6025897343149367E-3</v>
      </c>
      <c r="AF130" s="52">
        <f t="shared" si="348"/>
        <v>1.052121212121212E-2</v>
      </c>
      <c r="AG130" s="52">
        <f t="shared" si="348"/>
        <v>1.052121212121212E-2</v>
      </c>
      <c r="AH130" s="52">
        <f t="shared" si="348"/>
        <v>1.052121212121212E-2</v>
      </c>
      <c r="AI130" s="52">
        <f t="shared" si="348"/>
        <v>1.052121212121212E-2</v>
      </c>
      <c r="AJ130" s="52">
        <f t="shared" si="348"/>
        <v>1.052121212121212E-2</v>
      </c>
      <c r="AK130" s="52">
        <f t="shared" si="348"/>
        <v>1.052121212121212E-2</v>
      </c>
      <c r="AL130" s="52">
        <f t="shared" si="348"/>
        <v>1.052121212121212E-2</v>
      </c>
      <c r="AM130" s="52">
        <f t="shared" si="348"/>
        <v>1.052121212121212E-2</v>
      </c>
      <c r="AN130" s="52">
        <f t="shared" si="348"/>
        <v>1.052121212121212E-2</v>
      </c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</row>
    <row r="131" spans="1:62" ht="24.45" customHeight="1">
      <c r="A131" s="30" t="s">
        <v>94</v>
      </c>
      <c r="B131" s="30"/>
      <c r="C131" s="30">
        <f>C129</f>
        <v>1731936.6549999998</v>
      </c>
      <c r="D131" s="30">
        <f>C131+D129</f>
        <v>4318241.8149999995</v>
      </c>
      <c r="E131" s="30">
        <f>D131+E129</f>
        <v>4180458.2899999996</v>
      </c>
      <c r="F131" s="30">
        <f>E131+F129</f>
        <v>6157552.4449999994</v>
      </c>
      <c r="G131" s="30">
        <f>F131+G129</f>
        <v>5613628.2499999991</v>
      </c>
      <c r="H131" s="30">
        <f>G131+H129</f>
        <v>8433022.8379999995</v>
      </c>
      <c r="I131" s="30">
        <f>H131+I129</f>
        <v>8145967.2719999999</v>
      </c>
      <c r="J131" s="30">
        <f>I131+J129</f>
        <v>12892994.385599999</v>
      </c>
      <c r="K131" s="30">
        <f>J131+K129</f>
        <v>16310764.557599999</v>
      </c>
      <c r="L131" s="30">
        <f>K131+L129</f>
        <v>21300709.826279998</v>
      </c>
      <c r="M131" s="30">
        <f>L131+M129</f>
        <v>25013936.328713998</v>
      </c>
      <c r="N131" s="30">
        <f>M131+N129</f>
        <v>30584208.201965697</v>
      </c>
      <c r="O131" s="30">
        <f>N131</f>
        <v>30584208.201965697</v>
      </c>
      <c r="P131" s="30">
        <f>N131+P129</f>
        <v>30160244.523501698</v>
      </c>
      <c r="Q131" s="30">
        <f t="shared" ref="Q131:AA131" si="349">P131+Q129</f>
        <v>29744060.969351299</v>
      </c>
      <c r="R131" s="30">
        <f t="shared" si="349"/>
        <v>29225254.426313858</v>
      </c>
      <c r="S131" s="30">
        <f t="shared" si="349"/>
        <v>28879177.633555073</v>
      </c>
      <c r="T131" s="30">
        <f t="shared" si="349"/>
        <v>28746565.471852146</v>
      </c>
      <c r="U131" s="30">
        <f t="shared" si="349"/>
        <v>28869480.077774126</v>
      </c>
      <c r="V131" s="30">
        <f t="shared" si="349"/>
        <v>29263116.291351769</v>
      </c>
      <c r="W131" s="30">
        <f t="shared" si="349"/>
        <v>29959725.191716511</v>
      </c>
      <c r="X131" s="30">
        <f t="shared" si="349"/>
        <v>30987014.588364128</v>
      </c>
      <c r="Y131" s="30">
        <f t="shared" si="349"/>
        <v>32379347.260514371</v>
      </c>
      <c r="Z131" s="30">
        <f t="shared" si="349"/>
        <v>34172580.170921773</v>
      </c>
      <c r="AA131" s="30">
        <f t="shared" si="349"/>
        <v>36407127.025809914</v>
      </c>
      <c r="AB131" s="30">
        <f>AA131</f>
        <v>36407127.025809914</v>
      </c>
      <c r="AC131" s="30">
        <f>AA131+AC129</f>
        <v>36253777.493324712</v>
      </c>
      <c r="AD131" s="30">
        <f t="shared" ref="AD131:AN131" si="350">AC131+AD129</f>
        <v>36206788.486167498</v>
      </c>
      <c r="AE131" s="30">
        <f t="shared" si="350"/>
        <v>36212996.714660063</v>
      </c>
      <c r="AF131" s="30">
        <f t="shared" si="350"/>
        <v>36254660.714660063</v>
      </c>
      <c r="AG131" s="30">
        <f t="shared" si="350"/>
        <v>36296324.714660063</v>
      </c>
      <c r="AH131" s="30">
        <f t="shared" si="350"/>
        <v>36337988.714660063</v>
      </c>
      <c r="AI131" s="30">
        <f t="shared" si="350"/>
        <v>36379652.714660063</v>
      </c>
      <c r="AJ131" s="30">
        <f t="shared" si="350"/>
        <v>36421316.714660063</v>
      </c>
      <c r="AK131" s="30">
        <f t="shared" si="350"/>
        <v>36462980.714660063</v>
      </c>
      <c r="AL131" s="30">
        <f t="shared" si="350"/>
        <v>36504644.714660063</v>
      </c>
      <c r="AM131" s="30">
        <f t="shared" si="350"/>
        <v>36546308.714660063</v>
      </c>
      <c r="AN131" s="30">
        <f t="shared" si="350"/>
        <v>36587972.714660063</v>
      </c>
      <c r="AO131" s="30">
        <f>AN131</f>
        <v>36587972.714660063</v>
      </c>
      <c r="AP131" s="30">
        <f>AB131+O131+AO131</f>
        <v>103579307.94243568</v>
      </c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</row>
    <row r="132" spans="1:62" ht="24.45" customHeight="1">
      <c r="A132" s="30" t="s">
        <v>25</v>
      </c>
      <c r="B132" s="30"/>
      <c r="C132" s="62">
        <v>0.5</v>
      </c>
      <c r="D132" s="62">
        <v>0.5</v>
      </c>
      <c r="E132" s="62">
        <v>0.5</v>
      </c>
      <c r="F132" s="62">
        <v>0.5</v>
      </c>
      <c r="G132" s="62">
        <v>0.5</v>
      </c>
      <c r="H132" s="62">
        <v>0.5</v>
      </c>
      <c r="I132" s="62">
        <v>0.5</v>
      </c>
      <c r="J132" s="62">
        <v>0.5</v>
      </c>
      <c r="K132" s="62">
        <v>0.5</v>
      </c>
      <c r="L132" s="62">
        <v>0.5</v>
      </c>
      <c r="M132" s="62">
        <v>0.5</v>
      </c>
      <c r="N132" s="62">
        <v>0.5</v>
      </c>
      <c r="O132" s="62">
        <v>0.5</v>
      </c>
      <c r="P132" s="62">
        <v>0.5</v>
      </c>
      <c r="Q132" s="62">
        <v>0.5</v>
      </c>
      <c r="R132" s="62">
        <v>0.5</v>
      </c>
      <c r="S132" s="62">
        <v>0.5</v>
      </c>
      <c r="T132" s="62">
        <v>0.5</v>
      </c>
      <c r="U132" s="62">
        <v>0.5</v>
      </c>
      <c r="V132" s="62">
        <v>0.7</v>
      </c>
      <c r="W132" s="62">
        <v>0.7</v>
      </c>
      <c r="X132" s="62">
        <v>0.8</v>
      </c>
      <c r="Y132" s="62">
        <v>0.8</v>
      </c>
      <c r="Z132" s="62">
        <v>0.8</v>
      </c>
      <c r="AA132" s="62">
        <v>0.9</v>
      </c>
      <c r="AB132" s="30"/>
      <c r="AC132" s="62">
        <v>1</v>
      </c>
      <c r="AD132" s="62">
        <v>1</v>
      </c>
      <c r="AE132" s="62">
        <v>1</v>
      </c>
      <c r="AF132" s="62">
        <v>1</v>
      </c>
      <c r="AG132" s="62">
        <v>1</v>
      </c>
      <c r="AH132" s="62">
        <v>1</v>
      </c>
      <c r="AI132" s="62">
        <v>1</v>
      </c>
      <c r="AJ132" s="62">
        <v>1</v>
      </c>
      <c r="AK132" s="62">
        <v>1</v>
      </c>
      <c r="AL132" s="62">
        <v>1</v>
      </c>
      <c r="AM132" s="62">
        <v>1</v>
      </c>
      <c r="AN132" s="62">
        <v>1</v>
      </c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</row>
    <row r="133" spans="1:62" ht="24.45" customHeight="1">
      <c r="A133" s="28" t="s">
        <v>95</v>
      </c>
      <c r="B133" s="28"/>
      <c r="C133" s="28">
        <f>IF(C129&gt;0,C129*C132*$B$10,0)</f>
        <v>346387.33100000001</v>
      </c>
      <c r="D133" s="28">
        <f>IF(D129&gt;0,D129*D132*$B$10,0)</f>
        <v>517261.03200000006</v>
      </c>
      <c r="E133" s="28">
        <f>IF(E129&gt;0,E129*E132*$B$10,0)</f>
        <v>0</v>
      </c>
      <c r="F133" s="28">
        <f>IF(F129&gt;0,F129*F132*$B$10,0)</f>
        <v>395418.83100000001</v>
      </c>
      <c r="G133" s="28">
        <f>IF(G129&gt;0,G129*G132*$B$10,0)</f>
        <v>0</v>
      </c>
      <c r="H133" s="28">
        <f>IF(H129&gt;0,H129*H132*$B$10,0)</f>
        <v>563878.91760000004</v>
      </c>
      <c r="I133" s="28">
        <f>IF(I129&gt;0,I129*I132*$B$10,0)</f>
        <v>0</v>
      </c>
      <c r="J133" s="28">
        <f>IF(J129&gt;0,J129*J132*$B$10,0)</f>
        <v>949405.4227199998</v>
      </c>
      <c r="K133" s="28">
        <f>IF(K129&gt;0,K129*K132*$B$10,0)</f>
        <v>683554.03439999989</v>
      </c>
      <c r="L133" s="28">
        <f>IF(L129&gt;0,L129*L132*$B$10,0)</f>
        <v>997989.05373599986</v>
      </c>
      <c r="M133" s="28">
        <f>IF(M129&gt;0,M129*M132*$B$10,0)</f>
        <v>742645.30048680026</v>
      </c>
      <c r="N133" s="28">
        <f>IF(N129&gt;0,N129*N132*$B$10,0)</f>
        <v>1114054.3746503403</v>
      </c>
      <c r="O133" s="28">
        <f>IF(O129&gt;0,O129*O132*$B$10,0)</f>
        <v>6116841.6403931398</v>
      </c>
      <c r="P133" s="28">
        <f t="shared" ref="C133:AA133" si="351">IF(P129&gt;0,P129*P132*$B$10,0)</f>
        <v>0</v>
      </c>
      <c r="Q133" s="28">
        <f t="shared" si="351"/>
        <v>0</v>
      </c>
      <c r="R133" s="28">
        <f t="shared" si="351"/>
        <v>0</v>
      </c>
      <c r="S133" s="28">
        <f t="shared" si="351"/>
        <v>0</v>
      </c>
      <c r="T133" s="28">
        <f t="shared" si="351"/>
        <v>0</v>
      </c>
      <c r="U133" s="28">
        <f t="shared" si="351"/>
        <v>24582.921184395935</v>
      </c>
      <c r="V133" s="28">
        <f t="shared" si="351"/>
        <v>110218.13980174036</v>
      </c>
      <c r="W133" s="28">
        <f t="shared" si="351"/>
        <v>195050.49210212778</v>
      </c>
      <c r="X133" s="28">
        <f t="shared" si="351"/>
        <v>328732.60692723724</v>
      </c>
      <c r="Y133" s="28">
        <f t="shared" si="351"/>
        <v>445546.45508807845</v>
      </c>
      <c r="Z133" s="28">
        <f t="shared" si="351"/>
        <v>573834.53133036941</v>
      </c>
      <c r="AA133" s="28">
        <f t="shared" si="351"/>
        <v>804436.86775973195</v>
      </c>
      <c r="AB133" s="30">
        <f>SUM(P133:AA133)</f>
        <v>2482402.0141936811</v>
      </c>
      <c r="AC133" s="28">
        <f t="shared" ref="AC133:AN133" si="352">IF(AC129&gt;0,AC129*AC132*$B$10,0)</f>
        <v>0</v>
      </c>
      <c r="AD133" s="28">
        <f t="shared" si="352"/>
        <v>0</v>
      </c>
      <c r="AE133" s="28">
        <f t="shared" si="352"/>
        <v>2483.2913970268974</v>
      </c>
      <c r="AF133" s="28">
        <f t="shared" si="352"/>
        <v>16665.600000000002</v>
      </c>
      <c r="AG133" s="28">
        <f t="shared" si="352"/>
        <v>16665.600000000002</v>
      </c>
      <c r="AH133" s="28">
        <f t="shared" si="352"/>
        <v>16665.600000000002</v>
      </c>
      <c r="AI133" s="28">
        <f t="shared" si="352"/>
        <v>16665.600000000002</v>
      </c>
      <c r="AJ133" s="28">
        <f t="shared" si="352"/>
        <v>16665.600000000002</v>
      </c>
      <c r="AK133" s="28">
        <f t="shared" si="352"/>
        <v>16665.600000000002</v>
      </c>
      <c r="AL133" s="28">
        <f t="shared" si="352"/>
        <v>16665.600000000002</v>
      </c>
      <c r="AM133" s="28">
        <f t="shared" si="352"/>
        <v>16665.600000000002</v>
      </c>
      <c r="AN133" s="28">
        <f t="shared" si="352"/>
        <v>16665.600000000002</v>
      </c>
      <c r="AO133" s="28">
        <f>SUM(AC133:AN133)</f>
        <v>152473.69139702694</v>
      </c>
      <c r="AP133" s="28">
        <f>AB133+O133+AO133</f>
        <v>8751717.345983848</v>
      </c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</row>
    <row r="134" spans="1:62" ht="24.45" customHeight="1">
      <c r="A134" s="30" t="s">
        <v>96</v>
      </c>
      <c r="B134" s="30"/>
      <c r="C134" s="28">
        <f>C133</f>
        <v>346387.33100000001</v>
      </c>
      <c r="D134" s="28">
        <f t="shared" ref="D134:N134" si="353">C134+D133</f>
        <v>863648.36300000013</v>
      </c>
      <c r="E134" s="28">
        <f t="shared" si="353"/>
        <v>863648.36300000013</v>
      </c>
      <c r="F134" s="28">
        <f t="shared" si="353"/>
        <v>1259067.1940000001</v>
      </c>
      <c r="G134" s="28">
        <f t="shared" si="353"/>
        <v>1259067.1940000001</v>
      </c>
      <c r="H134" s="28">
        <f t="shared" si="353"/>
        <v>1822946.1116000002</v>
      </c>
      <c r="I134" s="28">
        <f t="shared" si="353"/>
        <v>1822946.1116000002</v>
      </c>
      <c r="J134" s="28">
        <f t="shared" si="353"/>
        <v>2772351.5343200001</v>
      </c>
      <c r="K134" s="28">
        <f t="shared" si="353"/>
        <v>3455905.5687199999</v>
      </c>
      <c r="L134" s="28">
        <f t="shared" si="353"/>
        <v>4453894.6224559993</v>
      </c>
      <c r="M134" s="28">
        <f t="shared" si="353"/>
        <v>5196539.9229427995</v>
      </c>
      <c r="N134" s="28">
        <f t="shared" si="353"/>
        <v>6310594.29759314</v>
      </c>
      <c r="O134" s="30">
        <f>N134</f>
        <v>6310594.29759314</v>
      </c>
      <c r="P134" s="30">
        <f>N134+P133</f>
        <v>6310594.29759314</v>
      </c>
      <c r="Q134" s="30">
        <f t="shared" ref="Q134:AA134" si="354">P134+Q133</f>
        <v>6310594.29759314</v>
      </c>
      <c r="R134" s="30">
        <f t="shared" si="354"/>
        <v>6310594.29759314</v>
      </c>
      <c r="S134" s="30">
        <f t="shared" si="354"/>
        <v>6310594.29759314</v>
      </c>
      <c r="T134" s="30">
        <f t="shared" si="354"/>
        <v>6310594.29759314</v>
      </c>
      <c r="U134" s="30">
        <f t="shared" si="354"/>
        <v>6335177.2187775364</v>
      </c>
      <c r="V134" s="30">
        <f t="shared" si="354"/>
        <v>6445395.3585792771</v>
      </c>
      <c r="W134" s="30">
        <f t="shared" si="354"/>
        <v>6640445.8506814046</v>
      </c>
      <c r="X134" s="30">
        <f t="shared" si="354"/>
        <v>6969178.4576086421</v>
      </c>
      <c r="Y134" s="30">
        <f t="shared" si="354"/>
        <v>7414724.9126967201</v>
      </c>
      <c r="Z134" s="30">
        <f t="shared" si="354"/>
        <v>7988559.4440270895</v>
      </c>
      <c r="AA134" s="30">
        <f t="shared" si="354"/>
        <v>8792996.3117868211</v>
      </c>
      <c r="AB134" s="30">
        <f>AA134</f>
        <v>8792996.3117868211</v>
      </c>
      <c r="AC134" s="30">
        <f>AA134+AC133</f>
        <v>8792996.3117868211</v>
      </c>
      <c r="AD134" s="30">
        <f t="shared" ref="AD134:AN134" si="355">AC134+AD133</f>
        <v>8792996.3117868211</v>
      </c>
      <c r="AE134" s="30">
        <f t="shared" si="355"/>
        <v>8795479.6031838488</v>
      </c>
      <c r="AF134" s="30">
        <f t="shared" si="355"/>
        <v>8812145.2031838484</v>
      </c>
      <c r="AG134" s="30">
        <f t="shared" si="355"/>
        <v>8828810.803183848</v>
      </c>
      <c r="AH134" s="30">
        <f t="shared" si="355"/>
        <v>8845476.4031838477</v>
      </c>
      <c r="AI134" s="30">
        <f t="shared" si="355"/>
        <v>8862142.0031838473</v>
      </c>
      <c r="AJ134" s="30">
        <f t="shared" si="355"/>
        <v>8878807.6031838469</v>
      </c>
      <c r="AK134" s="30">
        <f t="shared" si="355"/>
        <v>8895473.2031838465</v>
      </c>
      <c r="AL134" s="30">
        <f t="shared" si="355"/>
        <v>8912138.8031838462</v>
      </c>
      <c r="AM134" s="30">
        <f t="shared" si="355"/>
        <v>8928804.4031838458</v>
      </c>
      <c r="AN134" s="30">
        <f t="shared" si="355"/>
        <v>8945470.0031838454</v>
      </c>
      <c r="AO134" s="30">
        <f>AN134</f>
        <v>8945470.0031838454</v>
      </c>
      <c r="AP134" s="30">
        <f>AB134+AO134</f>
        <v>17738466.314970665</v>
      </c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</row>
    <row r="135" spans="1:62" ht="24.45" customHeight="1">
      <c r="A135" s="30" t="s">
        <v>97</v>
      </c>
      <c r="B135" s="30"/>
      <c r="C135" s="28">
        <f t="shared" ref="C135:N135" si="356">IF(C129&gt;0,C129*C132*(100%-$B$10),0)</f>
        <v>519580.99649999989</v>
      </c>
      <c r="D135" s="28">
        <f t="shared" si="356"/>
        <v>775891.54800000007</v>
      </c>
      <c r="E135" s="28">
        <f t="shared" si="356"/>
        <v>0</v>
      </c>
      <c r="F135" s="28">
        <f t="shared" si="356"/>
        <v>593128.24649999989</v>
      </c>
      <c r="G135" s="28">
        <f t="shared" si="356"/>
        <v>0</v>
      </c>
      <c r="H135" s="28">
        <f t="shared" si="356"/>
        <v>845818.37639999995</v>
      </c>
      <c r="I135" s="28">
        <f t="shared" si="356"/>
        <v>0</v>
      </c>
      <c r="J135" s="28">
        <f t="shared" si="356"/>
        <v>1424108.1340799995</v>
      </c>
      <c r="K135" s="28">
        <f t="shared" si="356"/>
        <v>1025331.0515999998</v>
      </c>
      <c r="L135" s="28">
        <f t="shared" si="356"/>
        <v>1496983.5806039996</v>
      </c>
      <c r="M135" s="28">
        <f t="shared" si="356"/>
        <v>1113967.9507302002</v>
      </c>
      <c r="N135" s="28">
        <f t="shared" si="356"/>
        <v>1671081.5619755101</v>
      </c>
      <c r="O135" s="30"/>
      <c r="P135" s="28">
        <f t="shared" ref="P135:AA135" si="357">IF(P129&gt;0,P129*P132*(100%-$B$10),0)</f>
        <v>0</v>
      </c>
      <c r="Q135" s="28">
        <f t="shared" si="357"/>
        <v>0</v>
      </c>
      <c r="R135" s="28">
        <f t="shared" si="357"/>
        <v>0</v>
      </c>
      <c r="S135" s="28">
        <f t="shared" si="357"/>
        <v>0</v>
      </c>
      <c r="T135" s="28">
        <f t="shared" si="357"/>
        <v>0</v>
      </c>
      <c r="U135" s="28">
        <f t="shared" si="357"/>
        <v>36874.381776593902</v>
      </c>
      <c r="V135" s="28">
        <f t="shared" si="357"/>
        <v>165327.2097026105</v>
      </c>
      <c r="W135" s="28">
        <f t="shared" si="357"/>
        <v>292575.73815319163</v>
      </c>
      <c r="X135" s="28">
        <f t="shared" si="357"/>
        <v>493098.91039085586</v>
      </c>
      <c r="Y135" s="28">
        <f t="shared" si="357"/>
        <v>668319.68263211765</v>
      </c>
      <c r="Z135" s="28">
        <f t="shared" si="357"/>
        <v>860751.79699555412</v>
      </c>
      <c r="AA135" s="28">
        <f t="shared" si="357"/>
        <v>1206655.3016395979</v>
      </c>
      <c r="AB135" s="30"/>
      <c r="AC135" s="28">
        <f t="shared" ref="AC135:AN135" si="358">IF(AC129&gt;0,AC129*AC132*(100%-$B$10),0)</f>
        <v>0</v>
      </c>
      <c r="AD135" s="28">
        <f t="shared" si="358"/>
        <v>0</v>
      </c>
      <c r="AE135" s="28">
        <f t="shared" si="358"/>
        <v>3724.9370955403456</v>
      </c>
      <c r="AF135" s="28">
        <f t="shared" si="358"/>
        <v>24998.399999999998</v>
      </c>
      <c r="AG135" s="28">
        <f t="shared" si="358"/>
        <v>24998.399999999998</v>
      </c>
      <c r="AH135" s="28">
        <f t="shared" si="358"/>
        <v>24998.399999999998</v>
      </c>
      <c r="AI135" s="28">
        <f t="shared" si="358"/>
        <v>24998.399999999998</v>
      </c>
      <c r="AJ135" s="28">
        <f t="shared" si="358"/>
        <v>24998.399999999998</v>
      </c>
      <c r="AK135" s="28">
        <f t="shared" si="358"/>
        <v>24998.399999999998</v>
      </c>
      <c r="AL135" s="28">
        <f t="shared" si="358"/>
        <v>24998.399999999998</v>
      </c>
      <c r="AM135" s="28">
        <f t="shared" si="358"/>
        <v>24998.399999999998</v>
      </c>
      <c r="AN135" s="28">
        <f t="shared" si="358"/>
        <v>24998.399999999998</v>
      </c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</row>
    <row r="136" spans="1:62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30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30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</row>
    <row r="137" spans="1:62" ht="22.8">
      <c r="A137" s="8" t="s">
        <v>98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</row>
    <row r="138" spans="1:62" ht="22.8" outlineLevel="1" collapsed="1">
      <c r="A138" s="43" t="s">
        <v>99</v>
      </c>
      <c r="B138" s="38">
        <f>SUM(B139:B152)</f>
        <v>-2030703.3499999999</v>
      </c>
      <c r="C138" s="38">
        <f>SUM(C139:C152)</f>
        <v>1950358.6650000005</v>
      </c>
      <c r="D138" s="38">
        <f>SUM(D139:D152)</f>
        <v>-665890.53499999968</v>
      </c>
      <c r="E138" s="38">
        <f t="shared" ref="E138:N138" si="359">SUM(E139:E152)</f>
        <v>2905201.1650000005</v>
      </c>
      <c r="F138" s="38">
        <f t="shared" si="359"/>
        <v>-665890.53499999968</v>
      </c>
      <c r="G138" s="38">
        <f t="shared" si="359"/>
        <v>2905201.1650000005</v>
      </c>
      <c r="H138" s="38">
        <f t="shared" si="359"/>
        <v>-635871.44200000074</v>
      </c>
      <c r="I138" s="38">
        <f t="shared" si="359"/>
        <v>2449438.5979999998</v>
      </c>
      <c r="J138" s="38">
        <f t="shared" si="359"/>
        <v>-599848.53039999958</v>
      </c>
      <c r="K138" s="38">
        <f t="shared" si="359"/>
        <v>4542523.5175999999</v>
      </c>
      <c r="L138" s="38">
        <f t="shared" si="359"/>
        <v>-1466305.5041199999</v>
      </c>
      <c r="M138" s="38">
        <f t="shared" si="359"/>
        <v>5022930.5171540016</v>
      </c>
      <c r="N138" s="38">
        <f t="shared" si="359"/>
        <v>291095.72381170245</v>
      </c>
      <c r="O138" s="38">
        <f t="shared" ref="O138:O152" si="360">SUM(B138:N138)</f>
        <v>14002239.455045706</v>
      </c>
      <c r="P138" s="38">
        <f t="shared" ref="P138:AA138" si="361">SUM(P139:P152)</f>
        <v>-1733113.4768640003</v>
      </c>
      <c r="Q138" s="38">
        <f t="shared" si="361"/>
        <v>-427743.3246037332</v>
      </c>
      <c r="R138" s="38">
        <f t="shared" si="361"/>
        <v>-208257.78980010597</v>
      </c>
      <c r="S138" s="38">
        <f t="shared" si="361"/>
        <v>-18612.885174783471</v>
      </c>
      <c r="T138" s="38">
        <f t="shared" si="361"/>
        <v>215891.10174240512</v>
      </c>
      <c r="U138" s="38">
        <f t="shared" si="361"/>
        <v>460898.19143664592</v>
      </c>
      <c r="V138" s="38">
        <f t="shared" si="361"/>
        <v>-463120.36194235575</v>
      </c>
      <c r="W138" s="38">
        <f t="shared" si="361"/>
        <v>1037222.4053620755</v>
      </c>
      <c r="X138" s="38">
        <f t="shared" si="361"/>
        <v>1369217.8613862835</v>
      </c>
      <c r="Y138" s="38">
        <f t="shared" si="361"/>
        <v>1733603.6570182447</v>
      </c>
      <c r="Z138" s="38">
        <f t="shared" si="361"/>
        <v>2134832.6352107376</v>
      </c>
      <c r="AA138" s="38">
        <f t="shared" si="361"/>
        <v>2575982.2097238102</v>
      </c>
      <c r="AB138" s="38">
        <f t="shared" ref="AB138:AB142" si="362">SUM(P138:AA138)</f>
        <v>6676800.2234952245</v>
      </c>
      <c r="AC138" s="38">
        <f t="shared" ref="AC138:AN138" si="363">SUM(AC139:AC152)</f>
        <v>-649713.0809532</v>
      </c>
      <c r="AD138" s="38">
        <f t="shared" si="363"/>
        <v>755687.60965994978</v>
      </c>
      <c r="AE138" s="38">
        <f t="shared" si="363"/>
        <v>858420.73275690048</v>
      </c>
      <c r="AF138" s="38">
        <f t="shared" si="363"/>
        <v>926892</v>
      </c>
      <c r="AG138" s="38">
        <f t="shared" si="363"/>
        <v>926892</v>
      </c>
      <c r="AH138" s="38">
        <f t="shared" si="363"/>
        <v>926892</v>
      </c>
      <c r="AI138" s="38">
        <f t="shared" si="363"/>
        <v>-273108</v>
      </c>
      <c r="AJ138" s="38">
        <f t="shared" si="363"/>
        <v>926892</v>
      </c>
      <c r="AK138" s="38">
        <f t="shared" si="363"/>
        <v>926892</v>
      </c>
      <c r="AL138" s="38">
        <f t="shared" si="363"/>
        <v>926892</v>
      </c>
      <c r="AM138" s="38">
        <f t="shared" si="363"/>
        <v>926892</v>
      </c>
      <c r="AN138" s="38">
        <f t="shared" si="363"/>
        <v>926892</v>
      </c>
      <c r="AO138" s="38">
        <f t="shared" ref="AO138:AO142" si="364">SUM(AC138:AN138)</f>
        <v>8106423.2614636505</v>
      </c>
      <c r="AP138" s="38">
        <f>AB138+O138+AO138</f>
        <v>28785462.94000458</v>
      </c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</row>
    <row r="139" spans="1:62" ht="15.75" hidden="1" customHeight="1" outlineLevel="2">
      <c r="A139" s="28" t="s">
        <v>100</v>
      </c>
      <c r="B139" s="28"/>
      <c r="C139" s="28">
        <f t="shared" ref="C139:N139" si="365">C88-C91-C95-C96</f>
        <v>4370426.7750000004</v>
      </c>
      <c r="D139" s="28">
        <f t="shared" si="365"/>
        <v>4370426.7750000004</v>
      </c>
      <c r="E139" s="28">
        <f t="shared" si="365"/>
        <v>4370426.7750000004</v>
      </c>
      <c r="F139" s="28">
        <f t="shared" si="365"/>
        <v>4370426.7750000004</v>
      </c>
      <c r="G139" s="28">
        <f t="shared" si="365"/>
        <v>4370426.7750000004</v>
      </c>
      <c r="H139" s="28">
        <f t="shared" si="365"/>
        <v>5244512.13</v>
      </c>
      <c r="I139" s="28">
        <f t="shared" si="365"/>
        <v>5244512.13</v>
      </c>
      <c r="J139" s="28">
        <f t="shared" si="365"/>
        <v>6293414.5559999999</v>
      </c>
      <c r="K139" s="28">
        <f t="shared" si="365"/>
        <v>6293414.5559999999</v>
      </c>
      <c r="L139" s="28">
        <f t="shared" si="365"/>
        <v>6608085.2837999994</v>
      </c>
      <c r="M139" s="28">
        <f t="shared" si="365"/>
        <v>6938489.5479900008</v>
      </c>
      <c r="N139" s="28">
        <f t="shared" si="365"/>
        <v>7285414.0253895018</v>
      </c>
      <c r="O139" s="30">
        <f t="shared" si="360"/>
        <v>65759976.104179502</v>
      </c>
      <c r="P139" s="28">
        <f t="shared" ref="P139:AA139" si="366">P88-P91-P95-P96</f>
        <v>1765257.5001600001</v>
      </c>
      <c r="Q139" s="28">
        <f t="shared" si="366"/>
        <v>1941783.2501760004</v>
      </c>
      <c r="R139" s="28">
        <f t="shared" si="366"/>
        <v>2135961.5751936007</v>
      </c>
      <c r="S139" s="28">
        <f t="shared" si="366"/>
        <v>2349557.7327129608</v>
      </c>
      <c r="T139" s="28">
        <f t="shared" si="366"/>
        <v>2584513.505984257</v>
      </c>
      <c r="U139" s="28">
        <f t="shared" si="366"/>
        <v>2842964.856582683</v>
      </c>
      <c r="V139" s="28">
        <f t="shared" si="366"/>
        <v>3127261.3422409515</v>
      </c>
      <c r="W139" s="28">
        <f t="shared" si="366"/>
        <v>3439987.4764650469</v>
      </c>
      <c r="X139" s="28">
        <f t="shared" si="366"/>
        <v>3783986.2241115519</v>
      </c>
      <c r="Y139" s="28">
        <f t="shared" si="366"/>
        <v>4162384.846522707</v>
      </c>
      <c r="Z139" s="28">
        <f t="shared" si="366"/>
        <v>4578623.331174979</v>
      </c>
      <c r="AA139" s="28">
        <f t="shared" si="366"/>
        <v>5036485.6642924761</v>
      </c>
      <c r="AB139" s="30">
        <f t="shared" si="362"/>
        <v>37748767.305617221</v>
      </c>
      <c r="AC139" s="28">
        <f t="shared" ref="AC139:AN139" si="367">AC89-AC90-AC95-AC96</f>
        <v>2876183.406558</v>
      </c>
      <c r="AD139" s="28">
        <f t="shared" si="367"/>
        <v>3089335.0666282498</v>
      </c>
      <c r="AE139" s="28">
        <f t="shared" si="367"/>
        <v>3195944.9113515005</v>
      </c>
      <c r="AF139" s="28">
        <f t="shared" si="367"/>
        <v>3267000</v>
      </c>
      <c r="AG139" s="28">
        <f t="shared" si="367"/>
        <v>3267000</v>
      </c>
      <c r="AH139" s="28">
        <f t="shared" si="367"/>
        <v>3267000</v>
      </c>
      <c r="AI139" s="28">
        <f t="shared" si="367"/>
        <v>3267000</v>
      </c>
      <c r="AJ139" s="28">
        <f t="shared" si="367"/>
        <v>3267000</v>
      </c>
      <c r="AK139" s="28">
        <f t="shared" si="367"/>
        <v>3267000</v>
      </c>
      <c r="AL139" s="28">
        <f t="shared" si="367"/>
        <v>3267000</v>
      </c>
      <c r="AM139" s="28">
        <f t="shared" si="367"/>
        <v>3267000</v>
      </c>
      <c r="AN139" s="28">
        <f t="shared" si="367"/>
        <v>3267000</v>
      </c>
      <c r="AO139" s="28">
        <f t="shared" si="364"/>
        <v>38564463.384537749</v>
      </c>
      <c r="AP139" s="28">
        <f t="shared" ref="AP139:AP142" si="368">AB139+O139</f>
        <v>103508743.40979671</v>
      </c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</row>
    <row r="140" spans="1:62" ht="15.75" hidden="1" customHeight="1" outlineLevel="2">
      <c r="A140" s="28" t="s">
        <v>101</v>
      </c>
      <c r="B140" s="28">
        <f>-B39</f>
        <v>-1765829</v>
      </c>
      <c r="C140" s="28">
        <f t="shared" ref="C140:N140" si="369">-C39</f>
        <v>0</v>
      </c>
      <c r="D140" s="28">
        <f t="shared" si="369"/>
        <v>-3531658</v>
      </c>
      <c r="E140" s="28">
        <f t="shared" si="369"/>
        <v>0</v>
      </c>
      <c r="F140" s="28">
        <f t="shared" si="369"/>
        <v>-3531658</v>
      </c>
      <c r="G140" s="28">
        <f t="shared" si="369"/>
        <v>0</v>
      </c>
      <c r="H140" s="28">
        <f t="shared" si="369"/>
        <v>-4237989.6000000006</v>
      </c>
      <c r="I140" s="28">
        <f t="shared" si="369"/>
        <v>0</v>
      </c>
      <c r="J140" s="28">
        <f t="shared" si="369"/>
        <v>-5085587.5199999996</v>
      </c>
      <c r="K140" s="28">
        <f t="shared" si="369"/>
        <v>0</v>
      </c>
      <c r="L140" s="28">
        <f t="shared" si="369"/>
        <v>-6102705.0239999993</v>
      </c>
      <c r="M140" s="28">
        <f t="shared" si="369"/>
        <v>0</v>
      </c>
      <c r="N140" s="28">
        <f t="shared" si="369"/>
        <v>-5142094.0479999995</v>
      </c>
      <c r="O140" s="30">
        <f t="shared" si="360"/>
        <v>-29397521.192000002</v>
      </c>
      <c r="P140" s="28">
        <f t="shared" ref="P140:AA140" si="370">-P39</f>
        <v>-1018907.648</v>
      </c>
      <c r="Q140" s="28">
        <f t="shared" si="370"/>
        <v>-1075200.2389333334</v>
      </c>
      <c r="R140" s="28">
        <f t="shared" si="370"/>
        <v>-1047053.9434666666</v>
      </c>
      <c r="S140" s="28">
        <f t="shared" si="370"/>
        <v>-1061127.0912000001</v>
      </c>
      <c r="T140" s="28">
        <f t="shared" si="370"/>
        <v>-1054090.5173333334</v>
      </c>
      <c r="U140" s="28">
        <f t="shared" si="370"/>
        <v>-1057608.8042666668</v>
      </c>
      <c r="V140" s="28">
        <f t="shared" si="370"/>
        <v>-1055849.6608</v>
      </c>
      <c r="W140" s="28">
        <f t="shared" si="370"/>
        <v>-1056729.2325333334</v>
      </c>
      <c r="X140" s="28">
        <f t="shared" si="370"/>
        <v>-1056289.4466666665</v>
      </c>
      <c r="Y140" s="28">
        <f t="shared" si="370"/>
        <v>-1056509.3396000001</v>
      </c>
      <c r="Z140" s="28">
        <f t="shared" si="370"/>
        <v>-1056399.3931333332</v>
      </c>
      <c r="AA140" s="28">
        <f t="shared" si="370"/>
        <v>-1056454.3663666667</v>
      </c>
      <c r="AB140" s="30">
        <f t="shared" si="362"/>
        <v>-12652219.682300001</v>
      </c>
      <c r="AC140" s="28">
        <f t="shared" ref="AC140:AN140" si="371">-AC39</f>
        <v>-1200000</v>
      </c>
      <c r="AD140" s="28">
        <f t="shared" si="371"/>
        <v>-1200000</v>
      </c>
      <c r="AE140" s="28">
        <f t="shared" si="371"/>
        <v>-1200000</v>
      </c>
      <c r="AF140" s="28">
        <f t="shared" si="371"/>
        <v>-1200000</v>
      </c>
      <c r="AG140" s="28">
        <f t="shared" si="371"/>
        <v>-1200000</v>
      </c>
      <c r="AH140" s="28">
        <f t="shared" si="371"/>
        <v>-1200000</v>
      </c>
      <c r="AI140" s="28">
        <f t="shared" si="371"/>
        <v>-1200000</v>
      </c>
      <c r="AJ140" s="28">
        <f t="shared" si="371"/>
        <v>-1200000</v>
      </c>
      <c r="AK140" s="28">
        <f t="shared" si="371"/>
        <v>-1200000</v>
      </c>
      <c r="AL140" s="28">
        <f t="shared" si="371"/>
        <v>-1200000</v>
      </c>
      <c r="AM140" s="28">
        <f t="shared" si="371"/>
        <v>-1200000</v>
      </c>
      <c r="AN140" s="28">
        <f t="shared" si="371"/>
        <v>-1200000</v>
      </c>
      <c r="AO140" s="28">
        <f t="shared" si="364"/>
        <v>-14400000</v>
      </c>
      <c r="AP140" s="28">
        <f t="shared" si="368"/>
        <v>-42049740.874300003</v>
      </c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</row>
    <row r="141" spans="1:62" ht="15.75" hidden="1" customHeight="1" outlineLevel="2">
      <c r="A141" s="28" t="s">
        <v>84</v>
      </c>
      <c r="B141" s="28">
        <f t="shared" ref="B141:N141" si="372">B140*$H$13</f>
        <v>-176582.90000000002</v>
      </c>
      <c r="C141" s="28">
        <f t="shared" si="372"/>
        <v>0</v>
      </c>
      <c r="D141" s="28">
        <f t="shared" si="372"/>
        <v>-353165.80000000005</v>
      </c>
      <c r="E141" s="28">
        <f t="shared" si="372"/>
        <v>0</v>
      </c>
      <c r="F141" s="28">
        <f t="shared" si="372"/>
        <v>-353165.80000000005</v>
      </c>
      <c r="G141" s="28">
        <f t="shared" si="372"/>
        <v>0</v>
      </c>
      <c r="H141" s="28">
        <f t="shared" si="372"/>
        <v>-423798.96000000008</v>
      </c>
      <c r="I141" s="28">
        <f t="shared" si="372"/>
        <v>0</v>
      </c>
      <c r="J141" s="28">
        <f t="shared" si="372"/>
        <v>-508558.75199999998</v>
      </c>
      <c r="K141" s="28">
        <f t="shared" si="372"/>
        <v>0</v>
      </c>
      <c r="L141" s="28">
        <f t="shared" si="372"/>
        <v>-610270.5024</v>
      </c>
      <c r="M141" s="28">
        <f t="shared" si="372"/>
        <v>0</v>
      </c>
      <c r="N141" s="28">
        <f t="shared" si="372"/>
        <v>-514209.40479999996</v>
      </c>
      <c r="O141" s="30">
        <f t="shared" si="360"/>
        <v>-2939752.1192000005</v>
      </c>
      <c r="P141" s="28">
        <f t="shared" ref="P141:AA141" si="373">P140*$H$13</f>
        <v>-101890.7648</v>
      </c>
      <c r="Q141" s="28">
        <f t="shared" si="373"/>
        <v>-107520.02389333335</v>
      </c>
      <c r="R141" s="28">
        <f t="shared" si="373"/>
        <v>-104705.39434666667</v>
      </c>
      <c r="S141" s="28">
        <f t="shared" si="373"/>
        <v>-106112.70912000001</v>
      </c>
      <c r="T141" s="28">
        <f t="shared" si="373"/>
        <v>-105409.05173333334</v>
      </c>
      <c r="U141" s="28">
        <f t="shared" si="373"/>
        <v>-105760.88042666668</v>
      </c>
      <c r="V141" s="28">
        <f t="shared" si="373"/>
        <v>-105584.96608</v>
      </c>
      <c r="W141" s="28">
        <f t="shared" si="373"/>
        <v>-105672.92325333334</v>
      </c>
      <c r="X141" s="28">
        <f t="shared" si="373"/>
        <v>-105628.94466666666</v>
      </c>
      <c r="Y141" s="28">
        <f t="shared" si="373"/>
        <v>-105650.93396000001</v>
      </c>
      <c r="Z141" s="28">
        <f t="shared" si="373"/>
        <v>-105639.93931333332</v>
      </c>
      <c r="AA141" s="28">
        <f t="shared" si="373"/>
        <v>-105645.43663666668</v>
      </c>
      <c r="AB141" s="30">
        <f t="shared" si="362"/>
        <v>-1265221.9682300002</v>
      </c>
      <c r="AC141" s="28">
        <f t="shared" ref="AC141:AN141" si="374">AC140*$H$13</f>
        <v>-120000</v>
      </c>
      <c r="AD141" s="28">
        <f t="shared" si="374"/>
        <v>-120000</v>
      </c>
      <c r="AE141" s="28">
        <f t="shared" si="374"/>
        <v>-120000</v>
      </c>
      <c r="AF141" s="28">
        <f t="shared" si="374"/>
        <v>-120000</v>
      </c>
      <c r="AG141" s="28">
        <f t="shared" si="374"/>
        <v>-120000</v>
      </c>
      <c r="AH141" s="28">
        <f t="shared" si="374"/>
        <v>-120000</v>
      </c>
      <c r="AI141" s="28">
        <f t="shared" si="374"/>
        <v>-120000</v>
      </c>
      <c r="AJ141" s="28">
        <f t="shared" si="374"/>
        <v>-120000</v>
      </c>
      <c r="AK141" s="28">
        <f t="shared" si="374"/>
        <v>-120000</v>
      </c>
      <c r="AL141" s="28">
        <f t="shared" si="374"/>
        <v>-120000</v>
      </c>
      <c r="AM141" s="28">
        <f t="shared" si="374"/>
        <v>-120000</v>
      </c>
      <c r="AN141" s="28">
        <f t="shared" si="374"/>
        <v>-120000</v>
      </c>
      <c r="AO141" s="28">
        <f t="shared" si="364"/>
        <v>-1440000</v>
      </c>
      <c r="AP141" s="28">
        <f t="shared" si="368"/>
        <v>-4204974.0874300003</v>
      </c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</row>
    <row r="142" spans="1:62" ht="15.75" hidden="1" customHeight="1" outlineLevel="2">
      <c r="A142" s="28" t="s">
        <v>87</v>
      </c>
      <c r="B142" s="28"/>
      <c r="C142" s="28">
        <f t="shared" ref="C142:N142" si="375">-C116</f>
        <v>-183296</v>
      </c>
      <c r="D142" s="28">
        <f t="shared" si="375"/>
        <v>-183296</v>
      </c>
      <c r="E142" s="28">
        <f t="shared" si="375"/>
        <v>-183296</v>
      </c>
      <c r="F142" s="28">
        <f t="shared" si="375"/>
        <v>-183296</v>
      </c>
      <c r="G142" s="28">
        <f t="shared" si="375"/>
        <v>-183296</v>
      </c>
      <c r="H142" s="28">
        <f t="shared" si="375"/>
        <v>-183296</v>
      </c>
      <c r="I142" s="28">
        <f t="shared" si="375"/>
        <v>-183296</v>
      </c>
      <c r="J142" s="28">
        <f t="shared" si="375"/>
        <v>-183296</v>
      </c>
      <c r="K142" s="28">
        <f t="shared" si="375"/>
        <v>-183296</v>
      </c>
      <c r="L142" s="28">
        <f t="shared" si="375"/>
        <v>-183296</v>
      </c>
      <c r="M142" s="28">
        <f t="shared" si="375"/>
        <v>-183296</v>
      </c>
      <c r="N142" s="28">
        <f t="shared" si="375"/>
        <v>-183296</v>
      </c>
      <c r="O142" s="30">
        <f t="shared" si="360"/>
        <v>-2199552</v>
      </c>
      <c r="P142" s="28">
        <f t="shared" ref="P142:AA142" si="376">-P116</f>
        <v>-366592</v>
      </c>
      <c r="Q142" s="28">
        <f t="shared" si="376"/>
        <v>-366592</v>
      </c>
      <c r="R142" s="28">
        <f t="shared" si="376"/>
        <v>-366592</v>
      </c>
      <c r="S142" s="28">
        <f t="shared" si="376"/>
        <v>-366592</v>
      </c>
      <c r="T142" s="28">
        <f t="shared" si="376"/>
        <v>-366592</v>
      </c>
      <c r="U142" s="28">
        <f t="shared" si="376"/>
        <v>-366592</v>
      </c>
      <c r="V142" s="28">
        <f t="shared" si="376"/>
        <v>-366592</v>
      </c>
      <c r="W142" s="28">
        <f t="shared" si="376"/>
        <v>-366592</v>
      </c>
      <c r="X142" s="28">
        <f t="shared" si="376"/>
        <v>-366592</v>
      </c>
      <c r="Y142" s="28">
        <f t="shared" si="376"/>
        <v>-366592</v>
      </c>
      <c r="Z142" s="28">
        <f t="shared" si="376"/>
        <v>-366592</v>
      </c>
      <c r="AA142" s="28">
        <f t="shared" si="376"/>
        <v>-366592</v>
      </c>
      <c r="AB142" s="30">
        <f t="shared" si="362"/>
        <v>-4399104</v>
      </c>
      <c r="AC142" s="28">
        <f t="shared" ref="AC142:AN142" si="377">-AC116</f>
        <v>-549888</v>
      </c>
      <c r="AD142" s="28">
        <f t="shared" si="377"/>
        <v>-549888</v>
      </c>
      <c r="AE142" s="28">
        <f t="shared" si="377"/>
        <v>-549888</v>
      </c>
      <c r="AF142" s="28">
        <f t="shared" si="377"/>
        <v>-549888</v>
      </c>
      <c r="AG142" s="28">
        <f t="shared" si="377"/>
        <v>-549888</v>
      </c>
      <c r="AH142" s="28">
        <f t="shared" si="377"/>
        <v>-549888</v>
      </c>
      <c r="AI142" s="28">
        <f t="shared" si="377"/>
        <v>-549888</v>
      </c>
      <c r="AJ142" s="28">
        <f t="shared" si="377"/>
        <v>-549888</v>
      </c>
      <c r="AK142" s="28">
        <f t="shared" si="377"/>
        <v>-549888</v>
      </c>
      <c r="AL142" s="28">
        <f t="shared" si="377"/>
        <v>-549888</v>
      </c>
      <c r="AM142" s="28">
        <f t="shared" si="377"/>
        <v>-549888</v>
      </c>
      <c r="AN142" s="28">
        <f t="shared" si="377"/>
        <v>-549888</v>
      </c>
      <c r="AO142" s="28">
        <f t="shared" si="364"/>
        <v>-6598656</v>
      </c>
      <c r="AP142" s="28">
        <f t="shared" si="368"/>
        <v>-6598656</v>
      </c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</row>
    <row r="143" spans="1:62" ht="15.75" hidden="1" customHeight="1" outlineLevel="2">
      <c r="A143" s="28" t="s">
        <v>31</v>
      </c>
      <c r="B143" s="28"/>
      <c r="C143" s="28">
        <f t="shared" ref="C143:N143" si="378">-C117</f>
        <v>-372690</v>
      </c>
      <c r="D143" s="28">
        <f t="shared" si="378"/>
        <v>-372690</v>
      </c>
      <c r="E143" s="28">
        <f t="shared" si="378"/>
        <v>-372690</v>
      </c>
      <c r="F143" s="28">
        <f t="shared" si="378"/>
        <v>-372690</v>
      </c>
      <c r="G143" s="28">
        <f t="shared" si="378"/>
        <v>-372690</v>
      </c>
      <c r="H143" s="28">
        <f t="shared" si="378"/>
        <v>-372690</v>
      </c>
      <c r="I143" s="28">
        <f t="shared" si="378"/>
        <v>-372690</v>
      </c>
      <c r="J143" s="28">
        <f t="shared" si="378"/>
        <v>-372690</v>
      </c>
      <c r="K143" s="28">
        <f t="shared" si="378"/>
        <v>-372690</v>
      </c>
      <c r="L143" s="28">
        <f t="shared" si="378"/>
        <v>-372690</v>
      </c>
      <c r="M143" s="28">
        <f t="shared" si="378"/>
        <v>-372690</v>
      </c>
      <c r="N143" s="28">
        <f t="shared" si="378"/>
        <v>-372690</v>
      </c>
      <c r="O143" s="30">
        <f t="shared" si="360"/>
        <v>-4472280</v>
      </c>
      <c r="P143" s="28">
        <f t="shared" ref="P143:AA143" si="379">-P117</f>
        <v>-409959.00000000006</v>
      </c>
      <c r="Q143" s="28">
        <f t="shared" si="379"/>
        <v>-409959.00000000006</v>
      </c>
      <c r="R143" s="28">
        <f t="shared" si="379"/>
        <v>-409959.00000000006</v>
      </c>
      <c r="S143" s="28">
        <f t="shared" si="379"/>
        <v>-409959.00000000006</v>
      </c>
      <c r="T143" s="28">
        <f t="shared" si="379"/>
        <v>-409959.00000000006</v>
      </c>
      <c r="U143" s="28">
        <f t="shared" si="379"/>
        <v>-409959.00000000006</v>
      </c>
      <c r="V143" s="28">
        <f t="shared" si="379"/>
        <v>-409959.00000000006</v>
      </c>
      <c r="W143" s="28">
        <f t="shared" si="379"/>
        <v>-409959.00000000006</v>
      </c>
      <c r="X143" s="28">
        <f t="shared" si="379"/>
        <v>-409959.00000000006</v>
      </c>
      <c r="Y143" s="28">
        <f t="shared" si="379"/>
        <v>-409959.00000000006</v>
      </c>
      <c r="Z143" s="28">
        <f t="shared" si="379"/>
        <v>-409959.00000000006</v>
      </c>
      <c r="AA143" s="28">
        <f t="shared" si="379"/>
        <v>-409959.00000000006</v>
      </c>
      <c r="AB143" s="30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</row>
    <row r="144" spans="1:62" ht="15.75" hidden="1" customHeight="1" outlineLevel="2">
      <c r="A144" s="28" t="s">
        <v>35</v>
      </c>
      <c r="B144" s="28"/>
      <c r="C144" s="28">
        <f t="shared" ref="C144:N144" si="380">-C118</f>
        <v>-200000</v>
      </c>
      <c r="D144" s="28">
        <f t="shared" si="380"/>
        <v>-200000</v>
      </c>
      <c r="E144" s="28">
        <f t="shared" si="380"/>
        <v>-200000</v>
      </c>
      <c r="F144" s="28">
        <f t="shared" si="380"/>
        <v>-200000</v>
      </c>
      <c r="G144" s="28">
        <f t="shared" si="380"/>
        <v>-200000</v>
      </c>
      <c r="H144" s="28">
        <f t="shared" si="380"/>
        <v>-200000</v>
      </c>
      <c r="I144" s="28">
        <f t="shared" si="380"/>
        <v>-200000</v>
      </c>
      <c r="J144" s="28">
        <f t="shared" si="380"/>
        <v>-200000</v>
      </c>
      <c r="K144" s="28">
        <f t="shared" si="380"/>
        <v>-200000</v>
      </c>
      <c r="L144" s="28">
        <f t="shared" si="380"/>
        <v>-200000</v>
      </c>
      <c r="M144" s="28">
        <f t="shared" si="380"/>
        <v>-200000</v>
      </c>
      <c r="N144" s="28">
        <f t="shared" si="380"/>
        <v>-200000</v>
      </c>
      <c r="O144" s="30">
        <f t="shared" si="360"/>
        <v>-2400000</v>
      </c>
      <c r="P144" s="28">
        <f t="shared" ref="P144:AA144" si="381">-P118</f>
        <v>-220000.00000000003</v>
      </c>
      <c r="Q144" s="28">
        <f t="shared" si="381"/>
        <v>-220000.00000000003</v>
      </c>
      <c r="R144" s="28">
        <f t="shared" si="381"/>
        <v>-220000.00000000003</v>
      </c>
      <c r="S144" s="28">
        <f t="shared" si="381"/>
        <v>-220000.00000000003</v>
      </c>
      <c r="T144" s="28">
        <f t="shared" si="381"/>
        <v>-220000.00000000003</v>
      </c>
      <c r="U144" s="28">
        <f t="shared" si="381"/>
        <v>-220000.00000000003</v>
      </c>
      <c r="V144" s="28">
        <f t="shared" si="381"/>
        <v>-220000.00000000003</v>
      </c>
      <c r="W144" s="28">
        <f t="shared" si="381"/>
        <v>-220000.00000000003</v>
      </c>
      <c r="X144" s="28">
        <f t="shared" si="381"/>
        <v>-220000.00000000003</v>
      </c>
      <c r="Y144" s="28">
        <f t="shared" si="381"/>
        <v>-220000.00000000003</v>
      </c>
      <c r="Z144" s="28">
        <f t="shared" si="381"/>
        <v>-220000.00000000003</v>
      </c>
      <c r="AA144" s="28">
        <f t="shared" si="381"/>
        <v>-220000.00000000003</v>
      </c>
      <c r="AB144" s="30">
        <f t="shared" ref="AB144:AB152" si="382">SUM(P144:AA144)</f>
        <v>-2640000.0000000005</v>
      </c>
      <c r="AC144" s="28">
        <f t="shared" ref="AC144:AN144" si="383">-AC118</f>
        <v>-240000</v>
      </c>
      <c r="AD144" s="28">
        <f t="shared" si="383"/>
        <v>-240000</v>
      </c>
      <c r="AE144" s="28">
        <f t="shared" si="383"/>
        <v>-240000</v>
      </c>
      <c r="AF144" s="28">
        <f t="shared" si="383"/>
        <v>-240000</v>
      </c>
      <c r="AG144" s="28">
        <f t="shared" si="383"/>
        <v>-240000</v>
      </c>
      <c r="AH144" s="28">
        <f t="shared" si="383"/>
        <v>-240000</v>
      </c>
      <c r="AI144" s="28">
        <f t="shared" si="383"/>
        <v>-240000</v>
      </c>
      <c r="AJ144" s="28">
        <f t="shared" si="383"/>
        <v>-240000</v>
      </c>
      <c r="AK144" s="28">
        <f t="shared" si="383"/>
        <v>-240000</v>
      </c>
      <c r="AL144" s="28">
        <f t="shared" si="383"/>
        <v>-240000</v>
      </c>
      <c r="AM144" s="28">
        <f t="shared" si="383"/>
        <v>-240000</v>
      </c>
      <c r="AN144" s="28">
        <f t="shared" si="383"/>
        <v>-240000</v>
      </c>
      <c r="AO144" s="28">
        <f t="shared" ref="AO144:AO152" si="384">SUM(AC144:AN144)</f>
        <v>-2880000</v>
      </c>
      <c r="AP144" s="28">
        <f t="shared" ref="AP144:AP152" si="385">AB144+O144</f>
        <v>-5040000</v>
      </c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</row>
    <row r="145" spans="1:62" ht="15.75" hidden="1" customHeight="1" outlineLevel="2">
      <c r="A145" s="28" t="s">
        <v>36</v>
      </c>
      <c r="B145" s="28">
        <f>-B24</f>
        <v>0</v>
      </c>
      <c r="C145" s="28">
        <f t="shared" ref="C145:N145" si="386">-C119</f>
        <v>-5000</v>
      </c>
      <c r="D145" s="28">
        <f t="shared" si="386"/>
        <v>-5000</v>
      </c>
      <c r="E145" s="28">
        <f t="shared" si="386"/>
        <v>-5000</v>
      </c>
      <c r="F145" s="28">
        <f t="shared" si="386"/>
        <v>-5000</v>
      </c>
      <c r="G145" s="28">
        <f t="shared" si="386"/>
        <v>-5000</v>
      </c>
      <c r="H145" s="28">
        <f t="shared" si="386"/>
        <v>-5000</v>
      </c>
      <c r="I145" s="28">
        <f t="shared" si="386"/>
        <v>-5000</v>
      </c>
      <c r="J145" s="28">
        <f t="shared" si="386"/>
        <v>-5000</v>
      </c>
      <c r="K145" s="28">
        <f t="shared" si="386"/>
        <v>-5000</v>
      </c>
      <c r="L145" s="28">
        <f t="shared" si="386"/>
        <v>-5000</v>
      </c>
      <c r="M145" s="28">
        <f t="shared" si="386"/>
        <v>-5000</v>
      </c>
      <c r="N145" s="28">
        <f t="shared" si="386"/>
        <v>-5000</v>
      </c>
      <c r="O145" s="30">
        <f t="shared" si="360"/>
        <v>-60000</v>
      </c>
      <c r="P145" s="28">
        <f t="shared" ref="P145:AA145" si="387">-P119</f>
        <v>-5000</v>
      </c>
      <c r="Q145" s="28">
        <f t="shared" si="387"/>
        <v>-5000</v>
      </c>
      <c r="R145" s="28">
        <f t="shared" si="387"/>
        <v>-5000</v>
      </c>
      <c r="S145" s="28">
        <f t="shared" si="387"/>
        <v>-5000</v>
      </c>
      <c r="T145" s="28">
        <f t="shared" si="387"/>
        <v>-5000</v>
      </c>
      <c r="U145" s="28">
        <f t="shared" si="387"/>
        <v>-5000</v>
      </c>
      <c r="V145" s="28">
        <f t="shared" si="387"/>
        <v>-5000</v>
      </c>
      <c r="W145" s="28">
        <f t="shared" si="387"/>
        <v>-5000</v>
      </c>
      <c r="X145" s="28">
        <f t="shared" si="387"/>
        <v>-5000</v>
      </c>
      <c r="Y145" s="28">
        <f t="shared" si="387"/>
        <v>-5000</v>
      </c>
      <c r="Z145" s="28">
        <f t="shared" si="387"/>
        <v>-5000</v>
      </c>
      <c r="AA145" s="28">
        <f t="shared" si="387"/>
        <v>-5000</v>
      </c>
      <c r="AB145" s="30">
        <f t="shared" si="382"/>
        <v>-60000</v>
      </c>
      <c r="AC145" s="28">
        <f t="shared" ref="AC145:AN145" si="388">-AC119</f>
        <v>-5000</v>
      </c>
      <c r="AD145" s="28">
        <f t="shared" si="388"/>
        <v>-5000</v>
      </c>
      <c r="AE145" s="28">
        <f t="shared" si="388"/>
        <v>-5000</v>
      </c>
      <c r="AF145" s="28">
        <f t="shared" si="388"/>
        <v>-5000</v>
      </c>
      <c r="AG145" s="28">
        <f t="shared" si="388"/>
        <v>-5000</v>
      </c>
      <c r="AH145" s="28">
        <f t="shared" si="388"/>
        <v>-5000</v>
      </c>
      <c r="AI145" s="28">
        <f t="shared" si="388"/>
        <v>-5000</v>
      </c>
      <c r="AJ145" s="28">
        <f t="shared" si="388"/>
        <v>-5000</v>
      </c>
      <c r="AK145" s="28">
        <f t="shared" si="388"/>
        <v>-5000</v>
      </c>
      <c r="AL145" s="28">
        <f t="shared" si="388"/>
        <v>-5000</v>
      </c>
      <c r="AM145" s="28">
        <f t="shared" si="388"/>
        <v>-5000</v>
      </c>
      <c r="AN145" s="28">
        <f t="shared" si="388"/>
        <v>-5000</v>
      </c>
      <c r="AO145" s="28">
        <f t="shared" si="384"/>
        <v>-60000</v>
      </c>
      <c r="AP145" s="28">
        <f t="shared" si="385"/>
        <v>-120000</v>
      </c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</row>
    <row r="146" spans="1:62" ht="15.75" hidden="1" customHeight="1" outlineLevel="2">
      <c r="A146" s="28" t="s">
        <v>38</v>
      </c>
      <c r="B146" s="28"/>
      <c r="C146" s="28">
        <f t="shared" ref="C146:N146" si="389">-C120</f>
        <v>-5000</v>
      </c>
      <c r="D146" s="28">
        <f t="shared" si="389"/>
        <v>-5000</v>
      </c>
      <c r="E146" s="28">
        <f t="shared" si="389"/>
        <v>-5000</v>
      </c>
      <c r="F146" s="28">
        <f t="shared" si="389"/>
        <v>-5000</v>
      </c>
      <c r="G146" s="28">
        <f t="shared" si="389"/>
        <v>-5000</v>
      </c>
      <c r="H146" s="28">
        <f t="shared" si="389"/>
        <v>-5000</v>
      </c>
      <c r="I146" s="28">
        <f t="shared" si="389"/>
        <v>-5000</v>
      </c>
      <c r="J146" s="28">
        <f t="shared" si="389"/>
        <v>-5000</v>
      </c>
      <c r="K146" s="28">
        <f t="shared" si="389"/>
        <v>-5000</v>
      </c>
      <c r="L146" s="28">
        <f t="shared" si="389"/>
        <v>-5000</v>
      </c>
      <c r="M146" s="28">
        <f t="shared" si="389"/>
        <v>-5000</v>
      </c>
      <c r="N146" s="28">
        <f t="shared" si="389"/>
        <v>-5000</v>
      </c>
      <c r="O146" s="30">
        <f t="shared" si="360"/>
        <v>-60000</v>
      </c>
      <c r="P146" s="28">
        <f t="shared" ref="P146:AA146" si="390">-P120</f>
        <v>-5500</v>
      </c>
      <c r="Q146" s="28">
        <f t="shared" si="390"/>
        <v>-5500</v>
      </c>
      <c r="R146" s="28">
        <f t="shared" si="390"/>
        <v>-5500</v>
      </c>
      <c r="S146" s="28">
        <f t="shared" si="390"/>
        <v>-5500</v>
      </c>
      <c r="T146" s="28">
        <f t="shared" si="390"/>
        <v>-5500</v>
      </c>
      <c r="U146" s="28">
        <f t="shared" si="390"/>
        <v>-5500</v>
      </c>
      <c r="V146" s="28">
        <f t="shared" si="390"/>
        <v>-5500</v>
      </c>
      <c r="W146" s="28">
        <f t="shared" si="390"/>
        <v>-5500</v>
      </c>
      <c r="X146" s="28">
        <f t="shared" si="390"/>
        <v>-5500</v>
      </c>
      <c r="Y146" s="28">
        <f t="shared" si="390"/>
        <v>-5500</v>
      </c>
      <c r="Z146" s="28">
        <f t="shared" si="390"/>
        <v>-5500</v>
      </c>
      <c r="AA146" s="28">
        <f t="shared" si="390"/>
        <v>-5500</v>
      </c>
      <c r="AB146" s="30">
        <f t="shared" si="382"/>
        <v>-66000</v>
      </c>
      <c r="AC146" s="28">
        <f t="shared" ref="AC146:AN146" si="391">-AC120</f>
        <v>-6000</v>
      </c>
      <c r="AD146" s="28">
        <f t="shared" si="391"/>
        <v>-6000</v>
      </c>
      <c r="AE146" s="28">
        <f t="shared" si="391"/>
        <v>-6000</v>
      </c>
      <c r="AF146" s="28">
        <f t="shared" si="391"/>
        <v>-6000</v>
      </c>
      <c r="AG146" s="28">
        <f t="shared" si="391"/>
        <v>-6000</v>
      </c>
      <c r="AH146" s="28">
        <f t="shared" si="391"/>
        <v>-6000</v>
      </c>
      <c r="AI146" s="28">
        <f t="shared" si="391"/>
        <v>-6000</v>
      </c>
      <c r="AJ146" s="28">
        <f t="shared" si="391"/>
        <v>-6000</v>
      </c>
      <c r="AK146" s="28">
        <f t="shared" si="391"/>
        <v>-6000</v>
      </c>
      <c r="AL146" s="28">
        <f t="shared" si="391"/>
        <v>-6000</v>
      </c>
      <c r="AM146" s="28">
        <f t="shared" si="391"/>
        <v>-6000</v>
      </c>
      <c r="AN146" s="28">
        <f t="shared" si="391"/>
        <v>-6000</v>
      </c>
      <c r="AO146" s="28">
        <f t="shared" si="384"/>
        <v>-72000</v>
      </c>
      <c r="AP146" s="28">
        <f t="shared" si="385"/>
        <v>-126000</v>
      </c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</row>
    <row r="147" spans="1:62" ht="15.75" hidden="1" customHeight="1" outlineLevel="2">
      <c r="A147" s="28" t="s">
        <v>40</v>
      </c>
      <c r="B147" s="28"/>
      <c r="C147" s="28">
        <f>-C121*6</f>
        <v>-1200000</v>
      </c>
      <c r="D147" s="28"/>
      <c r="E147" s="28"/>
      <c r="F147" s="28"/>
      <c r="G147" s="28"/>
      <c r="H147" s="28"/>
      <c r="I147" s="28">
        <f>C147</f>
        <v>-1200000</v>
      </c>
      <c r="J147" s="28"/>
      <c r="K147" s="28"/>
      <c r="L147" s="28"/>
      <c r="M147" s="28"/>
      <c r="N147" s="28"/>
      <c r="O147" s="30">
        <f t="shared" si="360"/>
        <v>-2400000</v>
      </c>
      <c r="P147" s="28">
        <f>C147</f>
        <v>-1200000</v>
      </c>
      <c r="Q147" s="28"/>
      <c r="R147" s="28"/>
      <c r="S147" s="28"/>
      <c r="T147" s="28"/>
      <c r="U147" s="28"/>
      <c r="V147" s="28">
        <f>C147</f>
        <v>-1200000</v>
      </c>
      <c r="W147" s="28"/>
      <c r="X147" s="28"/>
      <c r="Y147" s="28"/>
      <c r="Z147" s="28"/>
      <c r="AA147" s="28"/>
      <c r="AB147" s="30">
        <f t="shared" si="382"/>
        <v>-2400000</v>
      </c>
      <c r="AC147" s="28">
        <f>P147</f>
        <v>-1200000</v>
      </c>
      <c r="AD147" s="28"/>
      <c r="AE147" s="28"/>
      <c r="AF147" s="28"/>
      <c r="AG147" s="28"/>
      <c r="AH147" s="28"/>
      <c r="AI147" s="28">
        <f>P147</f>
        <v>-1200000</v>
      </c>
      <c r="AJ147" s="28"/>
      <c r="AK147" s="28"/>
      <c r="AL147" s="28"/>
      <c r="AM147" s="28"/>
      <c r="AN147" s="28"/>
      <c r="AO147" s="28">
        <f t="shared" si="384"/>
        <v>-2400000</v>
      </c>
      <c r="AP147" s="28">
        <f t="shared" si="385"/>
        <v>-4800000</v>
      </c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</row>
    <row r="148" spans="1:62" ht="15.75" hidden="1" customHeight="1" outlineLevel="2">
      <c r="A148" s="28" t="s">
        <v>88</v>
      </c>
      <c r="B148" s="28"/>
      <c r="C148" s="28">
        <f t="shared" ref="C148:N148" si="392">-C122</f>
        <v>-245157.50000000003</v>
      </c>
      <c r="D148" s="28">
        <f t="shared" si="392"/>
        <v>0</v>
      </c>
      <c r="E148" s="28">
        <f t="shared" si="392"/>
        <v>-490315.00000000006</v>
      </c>
      <c r="F148" s="28">
        <f t="shared" si="392"/>
        <v>0</v>
      </c>
      <c r="G148" s="28">
        <f t="shared" si="392"/>
        <v>-490315.00000000006</v>
      </c>
      <c r="H148" s="28">
        <f t="shared" si="392"/>
        <v>0</v>
      </c>
      <c r="I148" s="28">
        <f t="shared" si="392"/>
        <v>-588378</v>
      </c>
      <c r="J148" s="28">
        <f t="shared" si="392"/>
        <v>0</v>
      </c>
      <c r="K148" s="28">
        <f t="shared" si="392"/>
        <v>-706053.6</v>
      </c>
      <c r="L148" s="28">
        <f t="shared" si="392"/>
        <v>0</v>
      </c>
      <c r="M148" s="28">
        <f t="shared" si="392"/>
        <v>-847264.31999999983</v>
      </c>
      <c r="N148" s="28">
        <f t="shared" si="392"/>
        <v>0</v>
      </c>
      <c r="O148" s="30">
        <f t="shared" si="360"/>
        <v>-3367483.42</v>
      </c>
      <c r="P148" s="28">
        <f t="shared" ref="P148:AA148" si="393">-P122</f>
        <v>-385.00000000000006</v>
      </c>
      <c r="Q148" s="28">
        <f t="shared" si="393"/>
        <v>-385.00000000000006</v>
      </c>
      <c r="R148" s="28">
        <f t="shared" si="393"/>
        <v>-385.00000000000006</v>
      </c>
      <c r="S148" s="28">
        <f t="shared" si="393"/>
        <v>-385.00000000000006</v>
      </c>
      <c r="T148" s="28">
        <f t="shared" si="393"/>
        <v>-385.00000000000006</v>
      </c>
      <c r="U148" s="28">
        <f t="shared" si="393"/>
        <v>-385.00000000000006</v>
      </c>
      <c r="V148" s="28">
        <f t="shared" si="393"/>
        <v>-385.00000000000006</v>
      </c>
      <c r="W148" s="28">
        <f t="shared" si="393"/>
        <v>-385.00000000000006</v>
      </c>
      <c r="X148" s="28">
        <f t="shared" si="393"/>
        <v>-385.00000000000006</v>
      </c>
      <c r="Y148" s="28">
        <f t="shared" si="393"/>
        <v>-385.00000000000006</v>
      </c>
      <c r="Z148" s="28">
        <f t="shared" si="393"/>
        <v>-385.00000000000006</v>
      </c>
      <c r="AA148" s="28">
        <f t="shared" si="393"/>
        <v>-385.00000000000006</v>
      </c>
      <c r="AB148" s="30">
        <f t="shared" si="382"/>
        <v>-4620.0000000000009</v>
      </c>
      <c r="AC148" s="28">
        <f t="shared" ref="AC148:AN148" si="394">-AC122</f>
        <v>-420</v>
      </c>
      <c r="AD148" s="28">
        <f t="shared" si="394"/>
        <v>-420</v>
      </c>
      <c r="AE148" s="28">
        <f t="shared" si="394"/>
        <v>-420</v>
      </c>
      <c r="AF148" s="28">
        <f t="shared" si="394"/>
        <v>-420</v>
      </c>
      <c r="AG148" s="28">
        <f t="shared" si="394"/>
        <v>-420</v>
      </c>
      <c r="AH148" s="28">
        <f t="shared" si="394"/>
        <v>-420</v>
      </c>
      <c r="AI148" s="28">
        <f t="shared" si="394"/>
        <v>-420</v>
      </c>
      <c r="AJ148" s="28">
        <f t="shared" si="394"/>
        <v>-420</v>
      </c>
      <c r="AK148" s="28">
        <f t="shared" si="394"/>
        <v>-420</v>
      </c>
      <c r="AL148" s="28">
        <f t="shared" si="394"/>
        <v>-420</v>
      </c>
      <c r="AM148" s="28">
        <f t="shared" si="394"/>
        <v>-420</v>
      </c>
      <c r="AN148" s="28">
        <f t="shared" si="394"/>
        <v>-420</v>
      </c>
      <c r="AO148" s="28">
        <f t="shared" si="384"/>
        <v>-5040</v>
      </c>
      <c r="AP148" s="28">
        <f t="shared" si="385"/>
        <v>-3372103.42</v>
      </c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</row>
    <row r="149" spans="1:62" ht="15.75" hidden="1" customHeight="1" outlineLevel="2">
      <c r="A149" s="28" t="s">
        <v>42</v>
      </c>
      <c r="B149" s="28"/>
      <c r="C149" s="28">
        <f t="shared" ref="C149:N149" si="395">-C123</f>
        <v>-50000</v>
      </c>
      <c r="D149" s="28">
        <f t="shared" si="395"/>
        <v>-50000</v>
      </c>
      <c r="E149" s="28">
        <f t="shared" si="395"/>
        <v>-50000</v>
      </c>
      <c r="F149" s="28">
        <f t="shared" si="395"/>
        <v>-50000</v>
      </c>
      <c r="G149" s="28">
        <f t="shared" si="395"/>
        <v>-50000</v>
      </c>
      <c r="H149" s="28">
        <f t="shared" si="395"/>
        <v>-50000</v>
      </c>
      <c r="I149" s="28">
        <f t="shared" si="395"/>
        <v>-50000</v>
      </c>
      <c r="J149" s="28">
        <f t="shared" si="395"/>
        <v>-50000</v>
      </c>
      <c r="K149" s="28">
        <f t="shared" si="395"/>
        <v>-50000</v>
      </c>
      <c r="L149" s="28">
        <f t="shared" si="395"/>
        <v>-50000</v>
      </c>
      <c r="M149" s="28">
        <f t="shared" si="395"/>
        <v>-50000</v>
      </c>
      <c r="N149" s="28">
        <f t="shared" si="395"/>
        <v>-50000</v>
      </c>
      <c r="O149" s="30">
        <f t="shared" si="360"/>
        <v>-600000</v>
      </c>
      <c r="P149" s="28">
        <f t="shared" ref="P149:AA149" si="396">-P123</f>
        <v>-55000.000000000007</v>
      </c>
      <c r="Q149" s="28">
        <f t="shared" si="396"/>
        <v>-55000.000000000007</v>
      </c>
      <c r="R149" s="28">
        <f t="shared" si="396"/>
        <v>-55000.000000000007</v>
      </c>
      <c r="S149" s="28">
        <f t="shared" si="396"/>
        <v>-55000.000000000007</v>
      </c>
      <c r="T149" s="28">
        <f t="shared" si="396"/>
        <v>-55000.000000000007</v>
      </c>
      <c r="U149" s="28">
        <f t="shared" si="396"/>
        <v>-55000.000000000007</v>
      </c>
      <c r="V149" s="28">
        <f t="shared" si="396"/>
        <v>-55000.000000000007</v>
      </c>
      <c r="W149" s="28">
        <f t="shared" si="396"/>
        <v>-55000.000000000007</v>
      </c>
      <c r="X149" s="28">
        <f t="shared" si="396"/>
        <v>-55000.000000000007</v>
      </c>
      <c r="Y149" s="28">
        <f t="shared" si="396"/>
        <v>-55000.000000000007</v>
      </c>
      <c r="Z149" s="28">
        <f t="shared" si="396"/>
        <v>-55000.000000000007</v>
      </c>
      <c r="AA149" s="28">
        <f t="shared" si="396"/>
        <v>-55000.000000000007</v>
      </c>
      <c r="AB149" s="30">
        <f t="shared" si="382"/>
        <v>-660000.00000000012</v>
      </c>
      <c r="AC149" s="28">
        <f t="shared" ref="AC149:AN149" si="397">-AC123</f>
        <v>-100000</v>
      </c>
      <c r="AD149" s="28">
        <f t="shared" si="397"/>
        <v>-100000</v>
      </c>
      <c r="AE149" s="28">
        <f t="shared" si="397"/>
        <v>-100000</v>
      </c>
      <c r="AF149" s="28">
        <f t="shared" si="397"/>
        <v>-100000</v>
      </c>
      <c r="AG149" s="28">
        <f t="shared" si="397"/>
        <v>-100000</v>
      </c>
      <c r="AH149" s="28">
        <f t="shared" si="397"/>
        <v>-100000</v>
      </c>
      <c r="AI149" s="28">
        <f t="shared" si="397"/>
        <v>-100000</v>
      </c>
      <c r="AJ149" s="28">
        <f t="shared" si="397"/>
        <v>-100000</v>
      </c>
      <c r="AK149" s="28">
        <f t="shared" si="397"/>
        <v>-100000</v>
      </c>
      <c r="AL149" s="28">
        <f t="shared" si="397"/>
        <v>-100000</v>
      </c>
      <c r="AM149" s="28">
        <f t="shared" si="397"/>
        <v>-100000</v>
      </c>
      <c r="AN149" s="28">
        <f t="shared" si="397"/>
        <v>-100000</v>
      </c>
      <c r="AO149" s="28">
        <f t="shared" si="384"/>
        <v>-1200000</v>
      </c>
      <c r="AP149" s="28">
        <f t="shared" si="385"/>
        <v>-1260000</v>
      </c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</row>
    <row r="150" spans="1:62" ht="15.75" hidden="1" customHeight="1" outlineLevel="2">
      <c r="A150" s="28" t="s">
        <v>102</v>
      </c>
      <c r="B150" s="28"/>
      <c r="C150" s="28">
        <f t="shared" ref="C150:N150" si="398">-C127</f>
        <v>-158924.60999999999</v>
      </c>
      <c r="D150" s="28">
        <f t="shared" si="398"/>
        <v>-158924.60999999999</v>
      </c>
      <c r="E150" s="28">
        <f t="shared" si="398"/>
        <v>-158924.60999999999</v>
      </c>
      <c r="F150" s="28">
        <f t="shared" si="398"/>
        <v>-158924.60999999999</v>
      </c>
      <c r="G150" s="28">
        <f t="shared" si="398"/>
        <v>-158924.60999999999</v>
      </c>
      <c r="H150" s="28">
        <f t="shared" si="398"/>
        <v>-190709.53200000001</v>
      </c>
      <c r="I150" s="28">
        <f t="shared" si="398"/>
        <v>-190709.53200000001</v>
      </c>
      <c r="J150" s="28">
        <f t="shared" si="398"/>
        <v>-228851.43839999998</v>
      </c>
      <c r="K150" s="28">
        <f t="shared" si="398"/>
        <v>-228851.43839999998</v>
      </c>
      <c r="L150" s="28">
        <f t="shared" si="398"/>
        <v>-240294.01031999997</v>
      </c>
      <c r="M150" s="28">
        <f t="shared" si="398"/>
        <v>-252308.71083600001</v>
      </c>
      <c r="N150" s="28">
        <f t="shared" si="398"/>
        <v>-264924.14637780003</v>
      </c>
      <c r="O150" s="30">
        <f t="shared" si="360"/>
        <v>-2391271.8583337995</v>
      </c>
      <c r="P150" s="28">
        <f t="shared" ref="P150:AA150" si="399">-P127</f>
        <v>-64191.181823999999</v>
      </c>
      <c r="Q150" s="28">
        <f t="shared" si="399"/>
        <v>-70610.300006400008</v>
      </c>
      <c r="R150" s="28">
        <f t="shared" si="399"/>
        <v>-77671.330007040015</v>
      </c>
      <c r="S150" s="28">
        <f t="shared" si="399"/>
        <v>-85438.463007744023</v>
      </c>
      <c r="T150" s="28">
        <f t="shared" si="399"/>
        <v>-93982.309308518437</v>
      </c>
      <c r="U150" s="28">
        <f t="shared" si="399"/>
        <v>-103380.54023937028</v>
      </c>
      <c r="V150" s="28">
        <f t="shared" si="399"/>
        <v>-113718.59426330733</v>
      </c>
      <c r="W150" s="28">
        <f t="shared" si="399"/>
        <v>-125090.45368963806</v>
      </c>
      <c r="X150" s="28">
        <f t="shared" si="399"/>
        <v>-137599.49905860188</v>
      </c>
      <c r="Y150" s="28">
        <f t="shared" si="399"/>
        <v>-151359.44896446206</v>
      </c>
      <c r="Z150" s="28">
        <f t="shared" si="399"/>
        <v>-166495.39386090831</v>
      </c>
      <c r="AA150" s="28">
        <f t="shared" si="399"/>
        <v>-183144.93324699914</v>
      </c>
      <c r="AB150" s="30">
        <f t="shared" si="382"/>
        <v>-1372682.4474769894</v>
      </c>
      <c r="AC150" s="28">
        <f t="shared" ref="AC150:AN150" si="400">-AC127</f>
        <v>-104588.4875112</v>
      </c>
      <c r="AD150" s="28">
        <f t="shared" si="400"/>
        <v>-112339.4569683</v>
      </c>
      <c r="AE150" s="28">
        <f t="shared" si="400"/>
        <v>-116216.17859460002</v>
      </c>
      <c r="AF150" s="28">
        <f t="shared" si="400"/>
        <v>-118800</v>
      </c>
      <c r="AG150" s="28">
        <f t="shared" si="400"/>
        <v>-118800</v>
      </c>
      <c r="AH150" s="28">
        <f t="shared" si="400"/>
        <v>-118800</v>
      </c>
      <c r="AI150" s="28">
        <f t="shared" si="400"/>
        <v>-118800</v>
      </c>
      <c r="AJ150" s="28">
        <f t="shared" si="400"/>
        <v>-118800</v>
      </c>
      <c r="AK150" s="28">
        <f t="shared" si="400"/>
        <v>-118800</v>
      </c>
      <c r="AL150" s="28">
        <f t="shared" si="400"/>
        <v>-118800</v>
      </c>
      <c r="AM150" s="28">
        <f t="shared" si="400"/>
        <v>-118800</v>
      </c>
      <c r="AN150" s="28">
        <f t="shared" si="400"/>
        <v>-118800</v>
      </c>
      <c r="AO150" s="28">
        <f t="shared" si="384"/>
        <v>-1402344.1230740999</v>
      </c>
      <c r="AP150" s="28">
        <f t="shared" si="385"/>
        <v>-3763954.3058107886</v>
      </c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</row>
    <row r="151" spans="1:62" ht="15.75" hidden="1" customHeight="1" outlineLevel="2">
      <c r="A151" s="28" t="s">
        <v>12</v>
      </c>
      <c r="B151" s="28"/>
      <c r="C151" s="28">
        <f t="shared" ref="C151:N151" si="401">C91</f>
        <v>0</v>
      </c>
      <c r="D151" s="28">
        <f t="shared" si="401"/>
        <v>0</v>
      </c>
      <c r="E151" s="28">
        <f t="shared" si="401"/>
        <v>0</v>
      </c>
      <c r="F151" s="28">
        <f t="shared" si="401"/>
        <v>0</v>
      </c>
      <c r="G151" s="28">
        <f t="shared" si="401"/>
        <v>0</v>
      </c>
      <c r="H151" s="28">
        <f t="shared" si="401"/>
        <v>0</v>
      </c>
      <c r="I151" s="28">
        <f t="shared" si="401"/>
        <v>0</v>
      </c>
      <c r="J151" s="28">
        <f t="shared" si="401"/>
        <v>0</v>
      </c>
      <c r="K151" s="28">
        <f t="shared" si="401"/>
        <v>0</v>
      </c>
      <c r="L151" s="28">
        <f t="shared" si="401"/>
        <v>0</v>
      </c>
      <c r="M151" s="28">
        <f t="shared" si="401"/>
        <v>0</v>
      </c>
      <c r="N151" s="28">
        <f t="shared" si="401"/>
        <v>0</v>
      </c>
      <c r="O151" s="30">
        <f t="shared" si="360"/>
        <v>0</v>
      </c>
      <c r="P151" s="28">
        <f t="shared" ref="P151:AA151" si="402">-P91</f>
        <v>0</v>
      </c>
      <c r="Q151" s="28">
        <f t="shared" si="402"/>
        <v>0</v>
      </c>
      <c r="R151" s="28">
        <f t="shared" si="402"/>
        <v>0</v>
      </c>
      <c r="S151" s="28">
        <f t="shared" si="402"/>
        <v>0</v>
      </c>
      <c r="T151" s="28">
        <f t="shared" si="402"/>
        <v>0</v>
      </c>
      <c r="U151" s="28">
        <f t="shared" si="402"/>
        <v>0</v>
      </c>
      <c r="V151" s="28">
        <f t="shared" si="402"/>
        <v>0</v>
      </c>
      <c r="W151" s="28">
        <f t="shared" si="402"/>
        <v>0</v>
      </c>
      <c r="X151" s="28">
        <f t="shared" si="402"/>
        <v>0</v>
      </c>
      <c r="Y151" s="28">
        <f t="shared" si="402"/>
        <v>0</v>
      </c>
      <c r="Z151" s="28">
        <f t="shared" si="402"/>
        <v>0</v>
      </c>
      <c r="AA151" s="28">
        <f t="shared" si="402"/>
        <v>0</v>
      </c>
      <c r="AB151" s="30">
        <f t="shared" si="382"/>
        <v>0</v>
      </c>
      <c r="AC151" s="28">
        <f t="shared" ref="AC151:AN151" si="403">-AC91</f>
        <v>0</v>
      </c>
      <c r="AD151" s="28">
        <f t="shared" si="403"/>
        <v>0</v>
      </c>
      <c r="AE151" s="28">
        <f t="shared" si="403"/>
        <v>0</v>
      </c>
      <c r="AF151" s="28">
        <f t="shared" si="403"/>
        <v>0</v>
      </c>
      <c r="AG151" s="28">
        <f t="shared" si="403"/>
        <v>0</v>
      </c>
      <c r="AH151" s="28">
        <f t="shared" si="403"/>
        <v>0</v>
      </c>
      <c r="AI151" s="28">
        <f t="shared" si="403"/>
        <v>0</v>
      </c>
      <c r="AJ151" s="28">
        <f t="shared" si="403"/>
        <v>0</v>
      </c>
      <c r="AK151" s="28">
        <f t="shared" si="403"/>
        <v>0</v>
      </c>
      <c r="AL151" s="28">
        <f t="shared" si="403"/>
        <v>0</v>
      </c>
      <c r="AM151" s="28">
        <f t="shared" si="403"/>
        <v>0</v>
      </c>
      <c r="AN151" s="28">
        <f t="shared" si="403"/>
        <v>0</v>
      </c>
      <c r="AO151" s="28">
        <f t="shared" si="384"/>
        <v>0</v>
      </c>
      <c r="AP151" s="28">
        <f t="shared" si="385"/>
        <v>0</v>
      </c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</row>
    <row r="152" spans="1:62" ht="15.75" hidden="1" customHeight="1" outlineLevel="2">
      <c r="A152" s="28" t="s">
        <v>83</v>
      </c>
      <c r="B152" s="28">
        <f t="shared" ref="B152:N152" si="404">$H$12*B140</f>
        <v>-88291.450000000012</v>
      </c>
      <c r="C152" s="28">
        <f t="shared" si="404"/>
        <v>0</v>
      </c>
      <c r="D152" s="28">
        <f t="shared" si="404"/>
        <v>-176582.90000000002</v>
      </c>
      <c r="E152" s="28">
        <f t="shared" si="404"/>
        <v>0</v>
      </c>
      <c r="F152" s="28">
        <f t="shared" si="404"/>
        <v>-176582.90000000002</v>
      </c>
      <c r="G152" s="28">
        <f t="shared" si="404"/>
        <v>0</v>
      </c>
      <c r="H152" s="28">
        <f t="shared" si="404"/>
        <v>-211899.48000000004</v>
      </c>
      <c r="I152" s="28">
        <f t="shared" si="404"/>
        <v>0</v>
      </c>
      <c r="J152" s="28">
        <f t="shared" si="404"/>
        <v>-254279.37599999999</v>
      </c>
      <c r="K152" s="28">
        <f t="shared" si="404"/>
        <v>0</v>
      </c>
      <c r="L152" s="28">
        <f t="shared" si="404"/>
        <v>-305135.2512</v>
      </c>
      <c r="M152" s="28">
        <f t="shared" si="404"/>
        <v>0</v>
      </c>
      <c r="N152" s="28">
        <f t="shared" si="404"/>
        <v>-257104.70239999998</v>
      </c>
      <c r="O152" s="30">
        <f t="shared" si="360"/>
        <v>-1469876.0596000003</v>
      </c>
      <c r="P152" s="28">
        <f t="shared" ref="P152:AA152" si="405">$H$12*P140</f>
        <v>-50945.382400000002</v>
      </c>
      <c r="Q152" s="28">
        <f t="shared" si="405"/>
        <v>-53760.011946666673</v>
      </c>
      <c r="R152" s="28">
        <f t="shared" si="405"/>
        <v>-52352.697173333334</v>
      </c>
      <c r="S152" s="28">
        <f t="shared" si="405"/>
        <v>-53056.354560000007</v>
      </c>
      <c r="T152" s="28">
        <f t="shared" si="405"/>
        <v>-52704.52586666667</v>
      </c>
      <c r="U152" s="28">
        <f t="shared" si="405"/>
        <v>-52880.440213333342</v>
      </c>
      <c r="V152" s="28">
        <f t="shared" si="405"/>
        <v>-52792.483039999999</v>
      </c>
      <c r="W152" s="28">
        <f t="shared" si="405"/>
        <v>-52836.461626666671</v>
      </c>
      <c r="X152" s="28">
        <f t="shared" si="405"/>
        <v>-52814.472333333331</v>
      </c>
      <c r="Y152" s="28">
        <f t="shared" si="405"/>
        <v>-52825.466980000005</v>
      </c>
      <c r="Z152" s="28">
        <f t="shared" si="405"/>
        <v>-52819.969656666661</v>
      </c>
      <c r="AA152" s="28">
        <f t="shared" si="405"/>
        <v>-52822.71831833334</v>
      </c>
      <c r="AB152" s="30">
        <f t="shared" si="382"/>
        <v>-632610.98411500012</v>
      </c>
      <c r="AC152" s="28" t="s">
        <v>132</v>
      </c>
      <c r="AD152" s="28" t="s">
        <v>132</v>
      </c>
      <c r="AE152" s="28" t="s">
        <v>132</v>
      </c>
      <c r="AF152" s="28" t="s">
        <v>132</v>
      </c>
      <c r="AG152" s="28" t="s">
        <v>132</v>
      </c>
      <c r="AH152" s="28" t="s">
        <v>132</v>
      </c>
      <c r="AI152" s="28" t="s">
        <v>132</v>
      </c>
      <c r="AJ152" s="28" t="s">
        <v>132</v>
      </c>
      <c r="AK152" s="28" t="s">
        <v>132</v>
      </c>
      <c r="AL152" s="28" t="s">
        <v>132</v>
      </c>
      <c r="AM152" s="28" t="s">
        <v>132</v>
      </c>
      <c r="AN152" s="28" t="s">
        <v>132</v>
      </c>
      <c r="AO152" s="28">
        <f t="shared" si="384"/>
        <v>0</v>
      </c>
      <c r="AP152" s="28">
        <f t="shared" si="385"/>
        <v>-2102487.0437150002</v>
      </c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</row>
    <row r="153" spans="1:62" ht="15.75" hidden="1" customHeight="1" outlineLevel="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</row>
    <row r="154" spans="1:62" ht="22.8" outlineLevel="1" collapsed="1">
      <c r="A154" s="43" t="s">
        <v>103</v>
      </c>
      <c r="B154" s="38">
        <f t="shared" ref="B154:N154" si="406">B155+B156</f>
        <v>0</v>
      </c>
      <c r="C154" s="38">
        <f t="shared" si="406"/>
        <v>0</v>
      </c>
      <c r="D154" s="38">
        <f t="shared" si="406"/>
        <v>0</v>
      </c>
      <c r="E154" s="38">
        <f t="shared" si="406"/>
        <v>0</v>
      </c>
      <c r="F154" s="38">
        <f t="shared" si="406"/>
        <v>0</v>
      </c>
      <c r="G154" s="38">
        <f t="shared" si="406"/>
        <v>0</v>
      </c>
      <c r="H154" s="38">
        <f t="shared" si="406"/>
        <v>0</v>
      </c>
      <c r="I154" s="38">
        <f t="shared" si="406"/>
        <v>0</v>
      </c>
      <c r="J154" s="38">
        <f t="shared" si="406"/>
        <v>0</v>
      </c>
      <c r="K154" s="38">
        <f t="shared" si="406"/>
        <v>0</v>
      </c>
      <c r="L154" s="38">
        <f t="shared" si="406"/>
        <v>0</v>
      </c>
      <c r="M154" s="38">
        <f t="shared" si="406"/>
        <v>0</v>
      </c>
      <c r="N154" s="38">
        <f t="shared" si="406"/>
        <v>0</v>
      </c>
      <c r="O154" s="38">
        <f>SUM(B154:N154)</f>
        <v>0</v>
      </c>
      <c r="P154" s="38">
        <f t="shared" ref="P154:AA154" si="407">P155+P156</f>
        <v>0</v>
      </c>
      <c r="Q154" s="38">
        <f t="shared" si="407"/>
        <v>0</v>
      </c>
      <c r="R154" s="38">
        <f t="shared" si="407"/>
        <v>0</v>
      </c>
      <c r="S154" s="38">
        <f t="shared" si="407"/>
        <v>0</v>
      </c>
      <c r="T154" s="38">
        <f t="shared" si="407"/>
        <v>0</v>
      </c>
      <c r="U154" s="38">
        <f t="shared" si="407"/>
        <v>0</v>
      </c>
      <c r="V154" s="38">
        <f t="shared" si="407"/>
        <v>0</v>
      </c>
      <c r="W154" s="38">
        <f t="shared" si="407"/>
        <v>0</v>
      </c>
      <c r="X154" s="38">
        <f t="shared" si="407"/>
        <v>0</v>
      </c>
      <c r="Y154" s="38">
        <f t="shared" si="407"/>
        <v>0</v>
      </c>
      <c r="Z154" s="38">
        <f t="shared" si="407"/>
        <v>0</v>
      </c>
      <c r="AA154" s="38">
        <f t="shared" si="407"/>
        <v>0</v>
      </c>
      <c r="AB154" s="38">
        <f t="shared" ref="AB154:AB155" si="408">SUM(P154:AA154)</f>
        <v>0</v>
      </c>
      <c r="AC154" s="38">
        <f t="shared" ref="AC154:AN154" si="409">AC155+AC156</f>
        <v>0</v>
      </c>
      <c r="AD154" s="38">
        <f t="shared" si="409"/>
        <v>0</v>
      </c>
      <c r="AE154" s="38">
        <f t="shared" si="409"/>
        <v>0</v>
      </c>
      <c r="AF154" s="38">
        <f t="shared" si="409"/>
        <v>0</v>
      </c>
      <c r="AG154" s="38">
        <f t="shared" si="409"/>
        <v>0</v>
      </c>
      <c r="AH154" s="38">
        <f t="shared" si="409"/>
        <v>0</v>
      </c>
      <c r="AI154" s="38">
        <f t="shared" si="409"/>
        <v>0</v>
      </c>
      <c r="AJ154" s="38">
        <f t="shared" si="409"/>
        <v>0</v>
      </c>
      <c r="AK154" s="38">
        <f t="shared" si="409"/>
        <v>0</v>
      </c>
      <c r="AL154" s="38">
        <f t="shared" si="409"/>
        <v>0</v>
      </c>
      <c r="AM154" s="38">
        <f t="shared" si="409"/>
        <v>0</v>
      </c>
      <c r="AN154" s="38">
        <f t="shared" si="409"/>
        <v>0</v>
      </c>
      <c r="AO154" s="38">
        <f t="shared" ref="AO154:AO155" si="410">SUM(AC154:AN154)</f>
        <v>0</v>
      </c>
      <c r="AP154" s="38">
        <f t="shared" ref="AP154:AP155" si="411">AB154+O154</f>
        <v>0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</row>
    <row r="155" spans="1:62" ht="15.75" hidden="1" customHeight="1" outlineLevel="2">
      <c r="A155" s="28" t="s">
        <v>104</v>
      </c>
      <c r="B155" s="28">
        <f>-B18</f>
        <v>0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30">
        <f>SUM(B155:N155)</f>
        <v>0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30">
        <f t="shared" si="408"/>
        <v>0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>
        <f t="shared" si="410"/>
        <v>0</v>
      </c>
      <c r="AP155" s="28">
        <f t="shared" si="411"/>
        <v>0</v>
      </c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</row>
    <row r="156" spans="1:62" ht="15.75" hidden="1" customHeight="1" outlineLevel="2">
      <c r="A156" s="28" t="s">
        <v>105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30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30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</row>
    <row r="157" spans="1:62" ht="3.45" hidden="1" customHeight="1" outlineLevel="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30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30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</row>
    <row r="158" spans="1:62" ht="24.45" customHeight="1" outlineLevel="1" collapsed="1">
      <c r="A158" s="43" t="s">
        <v>106</v>
      </c>
      <c r="B158" s="38">
        <f t="shared" ref="B158:N158" si="412">SUM(B159:B163)</f>
        <v>0</v>
      </c>
      <c r="C158" s="38">
        <f>SUM(C159:C163)</f>
        <v>-865968.3274999999</v>
      </c>
      <c r="D158" s="38">
        <f>SUM(D159:D163)</f>
        <v>-1293152.58</v>
      </c>
      <c r="E158" s="38">
        <f t="shared" si="412"/>
        <v>0</v>
      </c>
      <c r="F158" s="38">
        <f t="shared" si="412"/>
        <v>-988547.0774999999</v>
      </c>
      <c r="G158" s="38">
        <f t="shared" si="412"/>
        <v>0</v>
      </c>
      <c r="H158" s="38">
        <f t="shared" si="412"/>
        <v>-1409697.294</v>
      </c>
      <c r="I158" s="38">
        <f t="shared" si="412"/>
        <v>0</v>
      </c>
      <c r="J158" s="38">
        <f t="shared" si="412"/>
        <v>-2373513.5567999994</v>
      </c>
      <c r="K158" s="38">
        <f t="shared" si="412"/>
        <v>-1708885.0859999997</v>
      </c>
      <c r="L158" s="38">
        <f t="shared" si="412"/>
        <v>-2494972.6343399994</v>
      </c>
      <c r="M158" s="38">
        <f t="shared" si="412"/>
        <v>-1856613.2512170004</v>
      </c>
      <c r="N158" s="38">
        <f t="shared" si="412"/>
        <v>-2785135.9366258504</v>
      </c>
      <c r="O158" s="38">
        <f t="shared" ref="O158:O163" si="413">SUM(B158:N158)</f>
        <v>-15776485.743982848</v>
      </c>
      <c r="P158" s="38">
        <f>SUM(P159:P163)</f>
        <v>0</v>
      </c>
      <c r="Q158" s="38">
        <f t="shared" ref="Q158:AA158" si="414">SUM(Q159:Q163)</f>
        <v>0</v>
      </c>
      <c r="R158" s="38">
        <f t="shared" si="414"/>
        <v>0</v>
      </c>
      <c r="S158" s="38">
        <f t="shared" si="414"/>
        <v>0</v>
      </c>
      <c r="T158" s="38">
        <f t="shared" si="414"/>
        <v>0</v>
      </c>
      <c r="U158" s="38">
        <f t="shared" si="414"/>
        <v>-61457.302960989837</v>
      </c>
      <c r="V158" s="38">
        <f t="shared" si="414"/>
        <v>-275545.34950435086</v>
      </c>
      <c r="W158" s="38">
        <f t="shared" si="414"/>
        <v>-487626.23025531939</v>
      </c>
      <c r="X158" s="38">
        <f t="shared" si="414"/>
        <v>-821831.5173180931</v>
      </c>
      <c r="Y158" s="38">
        <f t="shared" si="414"/>
        <v>-1113866.137720196</v>
      </c>
      <c r="Z158" s="38">
        <f t="shared" si="414"/>
        <v>-1434586.3283259235</v>
      </c>
      <c r="AA158" s="38">
        <f t="shared" si="414"/>
        <v>-2011092.1693993299</v>
      </c>
      <c r="AB158" s="38">
        <f t="shared" ref="AB158:AB163" si="415">SUM(P158:AA158)</f>
        <v>-6206005.0354842022</v>
      </c>
      <c r="AC158" s="38">
        <f t="shared" ref="AC158:AN158" si="416">SUM(AC159:AC163)</f>
        <v>0</v>
      </c>
      <c r="AD158" s="38">
        <f t="shared" si="416"/>
        <v>0</v>
      </c>
      <c r="AE158" s="38">
        <f t="shared" si="416"/>
        <v>-6208.2284925672429</v>
      </c>
      <c r="AF158" s="38">
        <f t="shared" si="416"/>
        <v>-41664</v>
      </c>
      <c r="AG158" s="38">
        <f t="shared" si="416"/>
        <v>-41664</v>
      </c>
      <c r="AH158" s="38">
        <f t="shared" si="416"/>
        <v>-41664</v>
      </c>
      <c r="AI158" s="38">
        <f t="shared" si="416"/>
        <v>-41664</v>
      </c>
      <c r="AJ158" s="38">
        <f t="shared" si="416"/>
        <v>-41664</v>
      </c>
      <c r="AK158" s="38">
        <f t="shared" si="416"/>
        <v>-41664</v>
      </c>
      <c r="AL158" s="38">
        <f t="shared" si="416"/>
        <v>-41664</v>
      </c>
      <c r="AM158" s="38">
        <f t="shared" si="416"/>
        <v>-41664</v>
      </c>
      <c r="AN158" s="38">
        <f t="shared" si="416"/>
        <v>-41664</v>
      </c>
      <c r="AO158" s="38">
        <f t="shared" ref="AO158:AO163" si="417">SUM(AC158:AN158)</f>
        <v>-381184.22849256726</v>
      </c>
      <c r="AP158" s="38">
        <f>AB158+O158+AO158</f>
        <v>-22363675.007959615</v>
      </c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</row>
    <row r="159" spans="1:62" ht="15.75" hidden="1" customHeight="1" outlineLevel="2">
      <c r="A159" s="28" t="s">
        <v>107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63">
        <f t="shared" si="413"/>
        <v>0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63">
        <f t="shared" si="415"/>
        <v>0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8">
        <f t="shared" ref="AP159:AP163" si="418">AB159+O159</f>
        <v>0</v>
      </c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</row>
    <row r="160" spans="1:62" ht="15.75" hidden="1" customHeight="1" outlineLevel="2">
      <c r="A160" s="28" t="s">
        <v>108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30">
        <f t="shared" si="413"/>
        <v>0</v>
      </c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30">
        <f t="shared" si="415"/>
        <v>0</v>
      </c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28"/>
      <c r="AP160" s="28">
        <f t="shared" si="418"/>
        <v>0</v>
      </c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</row>
    <row r="161" spans="1:62" ht="15.75" hidden="1" customHeight="1" outlineLevel="2">
      <c r="A161" s="28" t="s">
        <v>109</v>
      </c>
      <c r="B161" s="28" t="str">
        <f>B7</f>
        <v>5 000 000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30">
        <f t="shared" si="413"/>
        <v>0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30">
        <f t="shared" si="415"/>
        <v>0</v>
      </c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>
        <f t="shared" si="418"/>
        <v>0</v>
      </c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</row>
    <row r="162" spans="1:62" ht="15.75" hidden="1" customHeight="1" outlineLevel="2">
      <c r="A162" s="28" t="s">
        <v>110</v>
      </c>
      <c r="B162" s="28"/>
      <c r="C162" s="28">
        <f>-C135</f>
        <v>-519580.99649999989</v>
      </c>
      <c r="D162" s="28">
        <f t="shared" ref="D162:N162" si="419">-D135</f>
        <v>-775891.54800000007</v>
      </c>
      <c r="E162" s="28">
        <f t="shared" si="419"/>
        <v>0</v>
      </c>
      <c r="F162" s="28">
        <f t="shared" si="419"/>
        <v>-593128.24649999989</v>
      </c>
      <c r="G162" s="28">
        <f t="shared" si="419"/>
        <v>0</v>
      </c>
      <c r="H162" s="28">
        <f t="shared" si="419"/>
        <v>-845818.37639999995</v>
      </c>
      <c r="I162" s="28">
        <f t="shared" si="419"/>
        <v>0</v>
      </c>
      <c r="J162" s="28">
        <f t="shared" si="419"/>
        <v>-1424108.1340799995</v>
      </c>
      <c r="K162" s="28">
        <f t="shared" si="419"/>
        <v>-1025331.0515999998</v>
      </c>
      <c r="L162" s="28">
        <f t="shared" si="419"/>
        <v>-1496983.5806039996</v>
      </c>
      <c r="M162" s="28">
        <f t="shared" si="419"/>
        <v>-1113967.9507302002</v>
      </c>
      <c r="N162" s="28">
        <f t="shared" si="419"/>
        <v>-1671081.5619755101</v>
      </c>
      <c r="O162" s="30">
        <f t="shared" si="413"/>
        <v>-9465891.4463897087</v>
      </c>
      <c r="P162" s="28">
        <f t="shared" ref="P162:AA162" si="420">-P135</f>
        <v>0</v>
      </c>
      <c r="Q162" s="28">
        <f t="shared" si="420"/>
        <v>0</v>
      </c>
      <c r="R162" s="28">
        <f t="shared" si="420"/>
        <v>0</v>
      </c>
      <c r="S162" s="28">
        <f t="shared" si="420"/>
        <v>0</v>
      </c>
      <c r="T162" s="28">
        <f t="shared" si="420"/>
        <v>0</v>
      </c>
      <c r="U162" s="28">
        <f t="shared" si="420"/>
        <v>-36874.381776593902</v>
      </c>
      <c r="V162" s="28">
        <f t="shared" si="420"/>
        <v>-165327.2097026105</v>
      </c>
      <c r="W162" s="28">
        <f t="shared" si="420"/>
        <v>-292575.73815319163</v>
      </c>
      <c r="X162" s="28">
        <f t="shared" si="420"/>
        <v>-493098.91039085586</v>
      </c>
      <c r="Y162" s="28">
        <f t="shared" si="420"/>
        <v>-668319.68263211765</v>
      </c>
      <c r="Z162" s="28">
        <f t="shared" si="420"/>
        <v>-860751.79699555412</v>
      </c>
      <c r="AA162" s="28">
        <f t="shared" si="420"/>
        <v>-1206655.3016395979</v>
      </c>
      <c r="AB162" s="30">
        <f t="shared" si="415"/>
        <v>-3723603.0212905216</v>
      </c>
      <c r="AC162" s="28">
        <f t="shared" ref="AC162:AN162" si="421">-AC135</f>
        <v>0</v>
      </c>
      <c r="AD162" s="28">
        <f t="shared" si="421"/>
        <v>0</v>
      </c>
      <c r="AE162" s="28">
        <f t="shared" si="421"/>
        <v>-3724.9370955403456</v>
      </c>
      <c r="AF162" s="28">
        <f t="shared" si="421"/>
        <v>-24998.399999999998</v>
      </c>
      <c r="AG162" s="28">
        <f t="shared" si="421"/>
        <v>-24998.399999999998</v>
      </c>
      <c r="AH162" s="28">
        <f t="shared" si="421"/>
        <v>-24998.399999999998</v>
      </c>
      <c r="AI162" s="28">
        <f t="shared" si="421"/>
        <v>-24998.399999999998</v>
      </c>
      <c r="AJ162" s="28">
        <f t="shared" si="421"/>
        <v>-24998.399999999998</v>
      </c>
      <c r="AK162" s="28">
        <f t="shared" si="421"/>
        <v>-24998.399999999998</v>
      </c>
      <c r="AL162" s="28">
        <f t="shared" si="421"/>
        <v>-24998.399999999998</v>
      </c>
      <c r="AM162" s="28">
        <f t="shared" si="421"/>
        <v>-24998.399999999998</v>
      </c>
      <c r="AN162" s="28">
        <f t="shared" si="421"/>
        <v>-24998.399999999998</v>
      </c>
      <c r="AO162" s="28">
        <f t="shared" si="417"/>
        <v>-228710.53709554032</v>
      </c>
      <c r="AP162" s="28">
        <f t="shared" si="418"/>
        <v>-13189494.467680231</v>
      </c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</row>
    <row r="163" spans="1:62" ht="15.75" hidden="1" customHeight="1" outlineLevel="2">
      <c r="A163" s="28" t="s">
        <v>95</v>
      </c>
      <c r="B163" s="28"/>
      <c r="C163" s="28">
        <f t="shared" ref="C163:N163" si="422">-C133</f>
        <v>-346387.33100000001</v>
      </c>
      <c r="D163" s="28">
        <f t="shared" si="422"/>
        <v>-517261.03200000006</v>
      </c>
      <c r="E163" s="28">
        <f t="shared" si="422"/>
        <v>0</v>
      </c>
      <c r="F163" s="28">
        <f t="shared" si="422"/>
        <v>-395418.83100000001</v>
      </c>
      <c r="G163" s="28">
        <f t="shared" si="422"/>
        <v>0</v>
      </c>
      <c r="H163" s="28">
        <f t="shared" si="422"/>
        <v>-563878.91760000004</v>
      </c>
      <c r="I163" s="28">
        <f t="shared" si="422"/>
        <v>0</v>
      </c>
      <c r="J163" s="28">
        <f t="shared" si="422"/>
        <v>-949405.4227199998</v>
      </c>
      <c r="K163" s="28">
        <f t="shared" si="422"/>
        <v>-683554.03439999989</v>
      </c>
      <c r="L163" s="28">
        <f t="shared" si="422"/>
        <v>-997989.05373599986</v>
      </c>
      <c r="M163" s="28">
        <f t="shared" si="422"/>
        <v>-742645.30048680026</v>
      </c>
      <c r="N163" s="28">
        <f t="shared" si="422"/>
        <v>-1114054.3746503403</v>
      </c>
      <c r="O163" s="30">
        <f t="shared" si="413"/>
        <v>-6310594.29759314</v>
      </c>
      <c r="P163" s="28">
        <f t="shared" ref="P163:AA163" si="423">-P133</f>
        <v>0</v>
      </c>
      <c r="Q163" s="28">
        <f t="shared" si="423"/>
        <v>0</v>
      </c>
      <c r="R163" s="28">
        <f t="shared" si="423"/>
        <v>0</v>
      </c>
      <c r="S163" s="28">
        <f t="shared" si="423"/>
        <v>0</v>
      </c>
      <c r="T163" s="28">
        <f t="shared" si="423"/>
        <v>0</v>
      </c>
      <c r="U163" s="28">
        <f t="shared" si="423"/>
        <v>-24582.921184395935</v>
      </c>
      <c r="V163" s="28">
        <f t="shared" si="423"/>
        <v>-110218.13980174036</v>
      </c>
      <c r="W163" s="28">
        <f t="shared" si="423"/>
        <v>-195050.49210212778</v>
      </c>
      <c r="X163" s="28">
        <f t="shared" si="423"/>
        <v>-328732.60692723724</v>
      </c>
      <c r="Y163" s="28">
        <f t="shared" si="423"/>
        <v>-445546.45508807845</v>
      </c>
      <c r="Z163" s="28">
        <f t="shared" si="423"/>
        <v>-573834.53133036941</v>
      </c>
      <c r="AA163" s="28">
        <f t="shared" si="423"/>
        <v>-804436.86775973195</v>
      </c>
      <c r="AB163" s="30">
        <f t="shared" si="415"/>
        <v>-2482402.0141936811</v>
      </c>
      <c r="AC163" s="28">
        <f t="shared" ref="AC163:AN163" si="424">-AC133</f>
        <v>0</v>
      </c>
      <c r="AD163" s="28">
        <f t="shared" si="424"/>
        <v>0</v>
      </c>
      <c r="AE163" s="28">
        <f t="shared" si="424"/>
        <v>-2483.2913970268974</v>
      </c>
      <c r="AF163" s="28">
        <f t="shared" si="424"/>
        <v>-16665.600000000002</v>
      </c>
      <c r="AG163" s="28">
        <f t="shared" si="424"/>
        <v>-16665.600000000002</v>
      </c>
      <c r="AH163" s="28">
        <f t="shared" si="424"/>
        <v>-16665.600000000002</v>
      </c>
      <c r="AI163" s="28">
        <f t="shared" si="424"/>
        <v>-16665.600000000002</v>
      </c>
      <c r="AJ163" s="28">
        <f t="shared" si="424"/>
        <v>-16665.600000000002</v>
      </c>
      <c r="AK163" s="28">
        <f t="shared" si="424"/>
        <v>-16665.600000000002</v>
      </c>
      <c r="AL163" s="28">
        <f t="shared" si="424"/>
        <v>-16665.600000000002</v>
      </c>
      <c r="AM163" s="28">
        <f t="shared" si="424"/>
        <v>-16665.600000000002</v>
      </c>
      <c r="AN163" s="28">
        <f t="shared" si="424"/>
        <v>-16665.600000000002</v>
      </c>
      <c r="AO163" s="28">
        <f t="shared" si="417"/>
        <v>-152473.69139702694</v>
      </c>
      <c r="AP163" s="28">
        <f t="shared" si="418"/>
        <v>-8792996.3117868211</v>
      </c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</row>
    <row r="164" spans="1:62" ht="15.75" hidden="1" customHeight="1" outlineLevel="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30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30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</row>
    <row r="165" spans="1:62" ht="22.8" outlineLevel="1">
      <c r="A165" s="43" t="s">
        <v>111</v>
      </c>
      <c r="B165" s="38">
        <f t="shared" ref="B165:N165" si="425">B138+B154+B158</f>
        <v>-2030703.3499999999</v>
      </c>
      <c r="C165" s="38">
        <f t="shared" si="425"/>
        <v>1084390.3375000006</v>
      </c>
      <c r="D165" s="38">
        <f t="shared" si="425"/>
        <v>-1959043.1149999998</v>
      </c>
      <c r="E165" s="38">
        <f t="shared" si="425"/>
        <v>2905201.1650000005</v>
      </c>
      <c r="F165" s="38">
        <f t="shared" si="425"/>
        <v>-1654437.6124999996</v>
      </c>
      <c r="G165" s="38">
        <f t="shared" si="425"/>
        <v>2905201.1650000005</v>
      </c>
      <c r="H165" s="38">
        <f t="shared" si="425"/>
        <v>-2045568.7360000007</v>
      </c>
      <c r="I165" s="38">
        <f t="shared" si="425"/>
        <v>2449438.5979999998</v>
      </c>
      <c r="J165" s="38">
        <f t="shared" si="425"/>
        <v>-2973362.087199999</v>
      </c>
      <c r="K165" s="38">
        <f t="shared" si="425"/>
        <v>2833638.4316000002</v>
      </c>
      <c r="L165" s="38">
        <f t="shared" si="425"/>
        <v>-3961278.1384599991</v>
      </c>
      <c r="M165" s="38">
        <f t="shared" si="425"/>
        <v>3166317.2659370014</v>
      </c>
      <c r="N165" s="38">
        <f t="shared" si="425"/>
        <v>-2494040.212814148</v>
      </c>
      <c r="O165" s="38">
        <f>SUM(B165:N165)</f>
        <v>-1774246.2889371431</v>
      </c>
      <c r="P165" s="38">
        <f t="shared" ref="P165:AA165" si="426">P138+P154+P158</f>
        <v>-1733113.4768640003</v>
      </c>
      <c r="Q165" s="38">
        <f t="shared" si="426"/>
        <v>-427743.3246037332</v>
      </c>
      <c r="R165" s="38">
        <f t="shared" si="426"/>
        <v>-208257.78980010597</v>
      </c>
      <c r="S165" s="38">
        <f t="shared" si="426"/>
        <v>-18612.885174783471</v>
      </c>
      <c r="T165" s="38">
        <f t="shared" si="426"/>
        <v>215891.10174240512</v>
      </c>
      <c r="U165" s="38">
        <f t="shared" si="426"/>
        <v>399440.8884756561</v>
      </c>
      <c r="V165" s="38">
        <f t="shared" si="426"/>
        <v>-738665.71144670667</v>
      </c>
      <c r="W165" s="38">
        <f t="shared" si="426"/>
        <v>549596.17510675616</v>
      </c>
      <c r="X165" s="38">
        <f t="shared" si="426"/>
        <v>547386.34406819043</v>
      </c>
      <c r="Y165" s="38">
        <f t="shared" si="426"/>
        <v>619737.51929804869</v>
      </c>
      <c r="Z165" s="38">
        <f t="shared" si="426"/>
        <v>700246.30688481405</v>
      </c>
      <c r="AA165" s="38">
        <f t="shared" si="426"/>
        <v>564890.04032448027</v>
      </c>
      <c r="AB165" s="38">
        <f>SUM(P165:AA165)</f>
        <v>470795.18801102089</v>
      </c>
      <c r="AC165" s="38">
        <f t="shared" ref="AC165:AN165" si="427">AC138+AC154+AC158</f>
        <v>-649713.0809532</v>
      </c>
      <c r="AD165" s="38">
        <f t="shared" si="427"/>
        <v>755687.60965994978</v>
      </c>
      <c r="AE165" s="38">
        <f t="shared" si="427"/>
        <v>852212.50426433329</v>
      </c>
      <c r="AF165" s="38">
        <f t="shared" si="427"/>
        <v>885228</v>
      </c>
      <c r="AG165" s="38">
        <f t="shared" si="427"/>
        <v>885228</v>
      </c>
      <c r="AH165" s="38">
        <f t="shared" si="427"/>
        <v>885228</v>
      </c>
      <c r="AI165" s="38">
        <f t="shared" si="427"/>
        <v>-314772</v>
      </c>
      <c r="AJ165" s="38">
        <f t="shared" si="427"/>
        <v>885228</v>
      </c>
      <c r="AK165" s="38">
        <f t="shared" si="427"/>
        <v>885228</v>
      </c>
      <c r="AL165" s="38">
        <f t="shared" si="427"/>
        <v>885228</v>
      </c>
      <c r="AM165" s="38">
        <f t="shared" si="427"/>
        <v>885228</v>
      </c>
      <c r="AN165" s="38">
        <f t="shared" si="427"/>
        <v>885228</v>
      </c>
      <c r="AO165" s="38">
        <f>SUM(AC165:AN165)</f>
        <v>7725239.0329710832</v>
      </c>
      <c r="AP165" s="38">
        <f>AB165+O165+AO165</f>
        <v>6421787.9320449606</v>
      </c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</row>
    <row r="166" spans="1:62" ht="22.8" outlineLevel="1">
      <c r="A166" s="43" t="s">
        <v>112</v>
      </c>
      <c r="B166" s="38">
        <f>B17+B165</f>
        <v>2969296.6500000004</v>
      </c>
      <c r="C166" s="38">
        <f t="shared" ref="C166:N166" si="428">B166+C165</f>
        <v>4053686.9875000007</v>
      </c>
      <c r="D166" s="38">
        <f t="shared" si="428"/>
        <v>2094643.872500001</v>
      </c>
      <c r="E166" s="38">
        <f t="shared" si="428"/>
        <v>4999845.0375000015</v>
      </c>
      <c r="F166" s="38">
        <f>E166+F165</f>
        <v>3345407.4250000017</v>
      </c>
      <c r="G166" s="38">
        <f t="shared" si="428"/>
        <v>6250608.5900000017</v>
      </c>
      <c r="H166" s="38">
        <f t="shared" si="428"/>
        <v>4205039.8540000012</v>
      </c>
      <c r="I166" s="38">
        <f t="shared" si="428"/>
        <v>6654478.4520000014</v>
      </c>
      <c r="J166" s="38">
        <f t="shared" si="428"/>
        <v>3681116.3648000024</v>
      </c>
      <c r="K166" s="38">
        <f t="shared" si="428"/>
        <v>6514754.7964000031</v>
      </c>
      <c r="L166" s="38">
        <f t="shared" si="428"/>
        <v>2553476.657940004</v>
      </c>
      <c r="M166" s="38">
        <f t="shared" si="428"/>
        <v>5719793.9238770055</v>
      </c>
      <c r="N166" s="38">
        <f t="shared" si="428"/>
        <v>3225753.7110628574</v>
      </c>
      <c r="O166" s="38">
        <f>N166</f>
        <v>3225753.7110628574</v>
      </c>
      <c r="P166" s="38">
        <f>N166+P165</f>
        <v>1492640.2341988571</v>
      </c>
      <c r="Q166" s="38">
        <f>P166+Q165</f>
        <v>1064896.909595124</v>
      </c>
      <c r="R166" s="38">
        <f>Q166+R165</f>
        <v>856639.11979501799</v>
      </c>
      <c r="S166" s="38">
        <f>R166+S165</f>
        <v>838026.23462023446</v>
      </c>
      <c r="T166" s="38">
        <f>S166+T165</f>
        <v>1053917.3363626397</v>
      </c>
      <c r="U166" s="38">
        <f t="shared" ref="Q166:AA166" si="429">T166+U165</f>
        <v>1453358.2248382957</v>
      </c>
      <c r="V166" s="38">
        <f t="shared" si="429"/>
        <v>714692.51339158905</v>
      </c>
      <c r="W166" s="38">
        <f t="shared" si="429"/>
        <v>1264288.6884983452</v>
      </c>
      <c r="X166" s="38">
        <f t="shared" si="429"/>
        <v>1811675.0325665358</v>
      </c>
      <c r="Y166" s="38">
        <f t="shared" si="429"/>
        <v>2431412.5518645844</v>
      </c>
      <c r="Z166" s="38">
        <f t="shared" si="429"/>
        <v>3131658.8587493985</v>
      </c>
      <c r="AA166" s="38">
        <f t="shared" si="429"/>
        <v>3696548.8990738788</v>
      </c>
      <c r="AB166" s="38">
        <f>AA166</f>
        <v>3696548.8990738788</v>
      </c>
      <c r="AC166" s="38">
        <f>AA166+AC165</f>
        <v>3046835.8181206789</v>
      </c>
      <c r="AD166" s="38">
        <f t="shared" ref="AD166:AN166" si="430">AC166+AD165</f>
        <v>3802523.4277806287</v>
      </c>
      <c r="AE166" s="38">
        <f t="shared" si="430"/>
        <v>4654735.9320449624</v>
      </c>
      <c r="AF166" s="38">
        <f t="shared" si="430"/>
        <v>5539963.9320449624</v>
      </c>
      <c r="AG166" s="38">
        <f t="shared" si="430"/>
        <v>6425191.9320449624</v>
      </c>
      <c r="AH166" s="38">
        <f t="shared" si="430"/>
        <v>7310419.9320449624</v>
      </c>
      <c r="AI166" s="38">
        <f t="shared" si="430"/>
        <v>6995647.9320449624</v>
      </c>
      <c r="AJ166" s="38">
        <f t="shared" si="430"/>
        <v>7880875.9320449624</v>
      </c>
      <c r="AK166" s="38">
        <f t="shared" si="430"/>
        <v>8766103.9320449624</v>
      </c>
      <c r="AL166" s="38">
        <f t="shared" si="430"/>
        <v>9651331.9320449624</v>
      </c>
      <c r="AM166" s="38">
        <f t="shared" si="430"/>
        <v>10536559.932044962</v>
      </c>
      <c r="AN166" s="38">
        <f t="shared" si="430"/>
        <v>11421787.932044962</v>
      </c>
      <c r="AO166" s="38">
        <f>AN166</f>
        <v>11421787.932044962</v>
      </c>
      <c r="AP166" s="38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</row>
    <row r="167" spans="1:62" ht="15.75" customHeight="1">
      <c r="A167" s="50" t="s">
        <v>113</v>
      </c>
      <c r="B167" s="50">
        <f t="shared" ref="B167:N167" si="431">IF(B134&lt;$B$17,1,0)</f>
        <v>1</v>
      </c>
      <c r="C167" s="50">
        <f t="shared" ref="C167:J167" si="432">IF(C134&lt;$B$17,1,0)</f>
        <v>1</v>
      </c>
      <c r="D167" s="50">
        <f t="shared" si="432"/>
        <v>1</v>
      </c>
      <c r="E167" s="50">
        <f t="shared" si="432"/>
        <v>1</v>
      </c>
      <c r="F167" s="50">
        <f t="shared" si="432"/>
        <v>1</v>
      </c>
      <c r="G167" s="50">
        <f t="shared" si="432"/>
        <v>1</v>
      </c>
      <c r="H167" s="50">
        <f t="shared" si="432"/>
        <v>1</v>
      </c>
      <c r="I167" s="50">
        <f t="shared" si="432"/>
        <v>1</v>
      </c>
      <c r="J167" s="50">
        <f t="shared" si="432"/>
        <v>1</v>
      </c>
      <c r="K167" s="50">
        <f t="shared" si="431"/>
        <v>1</v>
      </c>
      <c r="L167" s="50">
        <f t="shared" si="431"/>
        <v>1</v>
      </c>
      <c r="M167" s="50">
        <f t="shared" si="431"/>
        <v>0</v>
      </c>
      <c r="N167" s="50">
        <f t="shared" si="431"/>
        <v>0</v>
      </c>
      <c r="O167" s="51"/>
      <c r="P167" s="50">
        <f t="shared" ref="P167:AA167" si="433">IF(P134&lt;$B$17,1,0)</f>
        <v>0</v>
      </c>
      <c r="Q167" s="50">
        <f t="shared" si="433"/>
        <v>0</v>
      </c>
      <c r="R167" s="50">
        <f t="shared" si="433"/>
        <v>0</v>
      </c>
      <c r="S167" s="50">
        <f t="shared" si="433"/>
        <v>0</v>
      </c>
      <c r="T167" s="50">
        <f t="shared" si="433"/>
        <v>0</v>
      </c>
      <c r="U167" s="50">
        <f t="shared" si="433"/>
        <v>0</v>
      </c>
      <c r="V167" s="50">
        <f t="shared" si="433"/>
        <v>0</v>
      </c>
      <c r="W167" s="50">
        <f t="shared" si="433"/>
        <v>0</v>
      </c>
      <c r="X167" s="50">
        <f t="shared" si="433"/>
        <v>0</v>
      </c>
      <c r="Y167" s="50">
        <f t="shared" si="433"/>
        <v>0</v>
      </c>
      <c r="Z167" s="50">
        <f t="shared" si="433"/>
        <v>0</v>
      </c>
      <c r="AA167" s="50">
        <f t="shared" si="433"/>
        <v>0</v>
      </c>
      <c r="AB167" s="51"/>
      <c r="AC167" s="50">
        <f t="shared" ref="AC167:AN167" si="434">IF(AC134&lt;$B$17,1,0)</f>
        <v>0</v>
      </c>
      <c r="AD167" s="50">
        <f t="shared" si="434"/>
        <v>0</v>
      </c>
      <c r="AE167" s="50">
        <f t="shared" si="434"/>
        <v>0</v>
      </c>
      <c r="AF167" s="50">
        <f t="shared" si="434"/>
        <v>0</v>
      </c>
      <c r="AG167" s="50">
        <f t="shared" si="434"/>
        <v>0</v>
      </c>
      <c r="AH167" s="50">
        <f t="shared" si="434"/>
        <v>0</v>
      </c>
      <c r="AI167" s="50">
        <f t="shared" si="434"/>
        <v>0</v>
      </c>
      <c r="AJ167" s="50">
        <f t="shared" si="434"/>
        <v>0</v>
      </c>
      <c r="AK167" s="50">
        <f t="shared" si="434"/>
        <v>0</v>
      </c>
      <c r="AL167" s="50">
        <f t="shared" si="434"/>
        <v>0</v>
      </c>
      <c r="AM167" s="50">
        <f t="shared" si="434"/>
        <v>0</v>
      </c>
      <c r="AN167" s="50">
        <f t="shared" si="434"/>
        <v>0</v>
      </c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</row>
    <row r="168" spans="1:62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1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1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</row>
    <row r="169" spans="1:62" ht="24" customHeight="1" collapsed="1">
      <c r="A169" s="8" t="s">
        <v>114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>
        <f>AP5</f>
        <v>0</v>
      </c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</row>
    <row r="170" spans="1:62" ht="18" hidden="1" customHeight="1" outlineLevel="1">
      <c r="A170" s="14" t="s">
        <v>115</v>
      </c>
      <c r="B170" s="64" t="s">
        <v>116</v>
      </c>
      <c r="C170" s="57" t="s">
        <v>132</v>
      </c>
      <c r="D170" s="57" t="s">
        <v>132</v>
      </c>
      <c r="E170" s="57" t="s">
        <v>132</v>
      </c>
      <c r="F170" s="57" t="s">
        <v>132</v>
      </c>
      <c r="G170" s="57" t="s">
        <v>132</v>
      </c>
      <c r="H170" s="57" t="s">
        <v>132</v>
      </c>
      <c r="I170" s="57" t="s">
        <v>132</v>
      </c>
      <c r="J170" s="57" t="s">
        <v>132</v>
      </c>
      <c r="K170" s="57" t="s">
        <v>132</v>
      </c>
      <c r="L170" s="57" t="s">
        <v>132</v>
      </c>
      <c r="M170" s="57" t="s">
        <v>132</v>
      </c>
      <c r="N170" s="57" t="s">
        <v>132</v>
      </c>
      <c r="O170" s="58">
        <f>MAX(C170:N170)</f>
        <v>0</v>
      </c>
      <c r="P170" s="57" t="s">
        <v>132</v>
      </c>
      <c r="Q170" s="57" t="s">
        <v>132</v>
      </c>
      <c r="R170" s="57" t="s">
        <v>132</v>
      </c>
      <c r="S170" s="57" t="s">
        <v>132</v>
      </c>
      <c r="T170" s="57" t="s">
        <v>132</v>
      </c>
      <c r="U170" s="57" t="s">
        <v>132</v>
      </c>
      <c r="V170" s="57" t="s">
        <v>132</v>
      </c>
      <c r="W170" s="57" t="s">
        <v>132</v>
      </c>
      <c r="X170" s="57" t="s">
        <v>132</v>
      </c>
      <c r="Y170" s="57" t="s">
        <v>132</v>
      </c>
      <c r="Z170" s="57" t="s">
        <v>132</v>
      </c>
      <c r="AA170" s="57" t="s">
        <v>132</v>
      </c>
      <c r="AB170" s="58">
        <f>MAX(P170:AA170)</f>
        <v>0</v>
      </c>
      <c r="AC170" s="57" t="s">
        <v>132</v>
      </c>
      <c r="AD170" s="57" t="s">
        <v>132</v>
      </c>
      <c r="AE170" s="57" t="s">
        <v>132</v>
      </c>
      <c r="AF170" s="57" t="s">
        <v>132</v>
      </c>
      <c r="AG170" s="57" t="s">
        <v>132</v>
      </c>
      <c r="AH170" s="57" t="s">
        <v>132</v>
      </c>
      <c r="AI170" s="57" t="s">
        <v>132</v>
      </c>
      <c r="AJ170" s="57" t="s">
        <v>132</v>
      </c>
      <c r="AK170" s="57" t="s">
        <v>132</v>
      </c>
      <c r="AL170" s="57" t="s">
        <v>132</v>
      </c>
      <c r="AM170" s="57" t="s">
        <v>132</v>
      </c>
      <c r="AN170" s="57" t="s">
        <v>132</v>
      </c>
      <c r="AO170" s="57">
        <f>MAX(AC170:AN170)</f>
        <v>0</v>
      </c>
      <c r="AP170" s="57">
        <f>AO170</f>
        <v>0</v>
      </c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14"/>
      <c r="BH170" s="14"/>
      <c r="BI170" s="14"/>
      <c r="BJ170" s="14"/>
    </row>
    <row r="171" spans="1:62" ht="15.75" hidden="1" customHeight="1" outlineLevel="1">
      <c r="A171" s="14" t="s">
        <v>117</v>
      </c>
      <c r="B171" s="14"/>
      <c r="C171" s="18">
        <v>0.3</v>
      </c>
      <c r="D171" s="18">
        <v>0.3</v>
      </c>
      <c r="E171" s="18">
        <v>0.3</v>
      </c>
      <c r="F171" s="18">
        <v>0.3</v>
      </c>
      <c r="G171" s="18">
        <v>0.3</v>
      </c>
      <c r="H171" s="18">
        <v>0.3</v>
      </c>
      <c r="I171" s="18">
        <v>0.3</v>
      </c>
      <c r="J171" s="18">
        <v>0.3</v>
      </c>
      <c r="K171" s="18">
        <v>0.3</v>
      </c>
      <c r="L171" s="18">
        <v>0.3</v>
      </c>
      <c r="M171" s="18">
        <v>0.3</v>
      </c>
      <c r="N171" s="18">
        <v>0.3</v>
      </c>
      <c r="O171" s="62">
        <v>0.3</v>
      </c>
      <c r="P171" s="18">
        <v>0.3</v>
      </c>
      <c r="Q171" s="18">
        <v>0.2</v>
      </c>
      <c r="R171" s="18">
        <v>0.2</v>
      </c>
      <c r="S171" s="18">
        <v>0.2</v>
      </c>
      <c r="T171" s="18">
        <v>0.2</v>
      </c>
      <c r="U171" s="18">
        <v>0.2</v>
      </c>
      <c r="V171" s="18">
        <v>0.2</v>
      </c>
      <c r="W171" s="18">
        <v>0.2</v>
      </c>
      <c r="X171" s="18">
        <v>0.2</v>
      </c>
      <c r="Y171" s="18">
        <v>0.2</v>
      </c>
      <c r="Z171" s="18">
        <v>0.2</v>
      </c>
      <c r="AA171" s="18">
        <v>0.2</v>
      </c>
      <c r="AB171" s="62">
        <v>0.3</v>
      </c>
      <c r="AC171" s="18">
        <v>0.3</v>
      </c>
      <c r="AD171" s="18">
        <v>0.2</v>
      </c>
      <c r="AE171" s="18">
        <v>0.2</v>
      </c>
      <c r="AF171" s="18">
        <v>0.2</v>
      </c>
      <c r="AG171" s="18">
        <v>0.2</v>
      </c>
      <c r="AH171" s="18">
        <v>0.2</v>
      </c>
      <c r="AI171" s="18">
        <v>0.2</v>
      </c>
      <c r="AJ171" s="18">
        <v>0.2</v>
      </c>
      <c r="AK171" s="18">
        <v>0.2</v>
      </c>
      <c r="AL171" s="18">
        <v>0.2</v>
      </c>
      <c r="AM171" s="18">
        <v>0.2</v>
      </c>
      <c r="AN171" s="18">
        <v>0.2</v>
      </c>
      <c r="AO171" s="18">
        <v>0.2</v>
      </c>
      <c r="AP171" s="18">
        <v>0.2</v>
      </c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4"/>
      <c r="BH171" s="14"/>
      <c r="BI171" s="14"/>
      <c r="BJ171" s="14"/>
    </row>
    <row r="172" spans="1:62" ht="13.95" hidden="1" customHeight="1" outlineLevel="1">
      <c r="A172" s="14" t="s">
        <v>118</v>
      </c>
      <c r="B172" s="14"/>
      <c r="C172" s="28" t="e">
        <f>C170*(1-C171)*$B$10</f>
        <v>#VALUE!</v>
      </c>
      <c r="D172" s="28" t="e">
        <f t="shared" ref="D172:N172" si="435">D170*(1-D171)*$B$10</f>
        <v>#VALUE!</v>
      </c>
      <c r="E172" s="28" t="e">
        <f t="shared" si="435"/>
        <v>#VALUE!</v>
      </c>
      <c r="F172" s="28" t="e">
        <f t="shared" si="435"/>
        <v>#VALUE!</v>
      </c>
      <c r="G172" s="28" t="e">
        <f t="shared" si="435"/>
        <v>#VALUE!</v>
      </c>
      <c r="H172" s="28" t="e">
        <f t="shared" si="435"/>
        <v>#VALUE!</v>
      </c>
      <c r="I172" s="28" t="e">
        <f t="shared" si="435"/>
        <v>#VALUE!</v>
      </c>
      <c r="J172" s="28" t="e">
        <f t="shared" si="435"/>
        <v>#VALUE!</v>
      </c>
      <c r="K172" s="28" t="e">
        <f t="shared" si="435"/>
        <v>#VALUE!</v>
      </c>
      <c r="L172" s="28" t="e">
        <f t="shared" si="435"/>
        <v>#VALUE!</v>
      </c>
      <c r="M172" s="28" t="e">
        <f t="shared" si="435"/>
        <v>#VALUE!</v>
      </c>
      <c r="N172" s="28" t="e">
        <f t="shared" si="435"/>
        <v>#VALUE!</v>
      </c>
      <c r="O172" s="30" t="e">
        <f>MAX(C172:N172)</f>
        <v>#VALUE!</v>
      </c>
      <c r="P172" s="28" t="e">
        <f t="shared" ref="P172:AP172" si="436">P170*(1-P171)*$B$10</f>
        <v>#VALUE!</v>
      </c>
      <c r="Q172" s="28" t="e">
        <f t="shared" si="436"/>
        <v>#VALUE!</v>
      </c>
      <c r="R172" s="28" t="e">
        <f t="shared" si="436"/>
        <v>#VALUE!</v>
      </c>
      <c r="S172" s="28" t="e">
        <f t="shared" si="436"/>
        <v>#VALUE!</v>
      </c>
      <c r="T172" s="28" t="e">
        <f t="shared" si="436"/>
        <v>#VALUE!</v>
      </c>
      <c r="U172" s="28" t="e">
        <f t="shared" si="436"/>
        <v>#VALUE!</v>
      </c>
      <c r="V172" s="28" t="e">
        <f t="shared" si="436"/>
        <v>#VALUE!</v>
      </c>
      <c r="W172" s="28" t="e">
        <f t="shared" si="436"/>
        <v>#VALUE!</v>
      </c>
      <c r="X172" s="28" t="e">
        <f t="shared" si="436"/>
        <v>#VALUE!</v>
      </c>
      <c r="Y172" s="28" t="e">
        <f t="shared" si="436"/>
        <v>#VALUE!</v>
      </c>
      <c r="Z172" s="28" t="e">
        <f t="shared" si="436"/>
        <v>#VALUE!</v>
      </c>
      <c r="AA172" s="28" t="e">
        <f t="shared" si="436"/>
        <v>#VALUE!</v>
      </c>
      <c r="AB172" s="30">
        <f t="shared" si="436"/>
        <v>0</v>
      </c>
      <c r="AC172" s="28" t="e">
        <f t="shared" si="436"/>
        <v>#VALUE!</v>
      </c>
      <c r="AD172" s="28" t="e">
        <f t="shared" si="436"/>
        <v>#VALUE!</v>
      </c>
      <c r="AE172" s="28" t="e">
        <f t="shared" si="436"/>
        <v>#VALUE!</v>
      </c>
      <c r="AF172" s="28" t="e">
        <f t="shared" si="436"/>
        <v>#VALUE!</v>
      </c>
      <c r="AG172" s="28" t="e">
        <f t="shared" si="436"/>
        <v>#VALUE!</v>
      </c>
      <c r="AH172" s="28" t="e">
        <f t="shared" si="436"/>
        <v>#VALUE!</v>
      </c>
      <c r="AI172" s="28" t="e">
        <f t="shared" si="436"/>
        <v>#VALUE!</v>
      </c>
      <c r="AJ172" s="28" t="e">
        <f t="shared" si="436"/>
        <v>#VALUE!</v>
      </c>
      <c r="AK172" s="28" t="e">
        <f t="shared" si="436"/>
        <v>#VALUE!</v>
      </c>
      <c r="AL172" s="28" t="e">
        <f t="shared" si="436"/>
        <v>#VALUE!</v>
      </c>
      <c r="AM172" s="28" t="e">
        <f t="shared" si="436"/>
        <v>#VALUE!</v>
      </c>
      <c r="AN172" s="28" t="e">
        <f t="shared" si="436"/>
        <v>#VALUE!</v>
      </c>
      <c r="AO172" s="28">
        <f t="shared" si="436"/>
        <v>0</v>
      </c>
      <c r="AP172" s="28">
        <f t="shared" si="436"/>
        <v>0</v>
      </c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14"/>
      <c r="BH172" s="14"/>
      <c r="BI172" s="14"/>
      <c r="BJ172" s="14"/>
    </row>
    <row r="173" spans="1:62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1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31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28"/>
      <c r="BG173" s="28"/>
      <c r="BH173" s="28"/>
      <c r="BI173" s="28"/>
      <c r="BJ173" s="28"/>
    </row>
    <row r="174" spans="1:62" ht="24" customHeight="1" collapsed="1">
      <c r="A174" s="8" t="s">
        <v>119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</row>
    <row r="175" spans="1:62" ht="15.75" hidden="1" customHeight="1" outlineLevel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65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65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</row>
    <row r="176" spans="1:62" ht="15.75" hidden="1" customHeight="1" outlineLevel="1">
      <c r="A176" s="66" t="s">
        <v>120</v>
      </c>
      <c r="B176" s="66">
        <v>0</v>
      </c>
      <c r="C176" s="66">
        <f t="shared" ref="C176:D176" si="437">B176+10%</f>
        <v>0.1</v>
      </c>
      <c r="D176" s="66">
        <f t="shared" si="437"/>
        <v>0.2</v>
      </c>
      <c r="E176" s="66">
        <f t="shared" ref="E176:H176" si="438">D177+10%</f>
        <v>15941812.488892002</v>
      </c>
      <c r="F176" s="66">
        <f>E177+10%</f>
        <v>1270706919184058.8</v>
      </c>
      <c r="G176" s="66">
        <f t="shared" si="438"/>
        <v>1.0128685653449607E+23</v>
      </c>
      <c r="H176" s="66">
        <f t="shared" si="438"/>
        <v>8.0734803216677805E+30</v>
      </c>
      <c r="I176" s="66">
        <f t="shared" ref="I176:L176" si="439">H176+10%</f>
        <v>8.0734803216677805E+30</v>
      </c>
      <c r="J176" s="66">
        <f t="shared" si="439"/>
        <v>8.0734803216677805E+30</v>
      </c>
      <c r="K176" s="66">
        <f t="shared" si="439"/>
        <v>8.0734803216677805E+30</v>
      </c>
      <c r="L176" s="66">
        <f t="shared" si="439"/>
        <v>8.0734803216677805E+30</v>
      </c>
      <c r="M176" s="66" t="s">
        <v>121</v>
      </c>
      <c r="N176" s="17"/>
      <c r="O176" s="65"/>
      <c r="P176" s="17"/>
      <c r="Q176" s="17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17"/>
      <c r="AD176" s="17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17"/>
      <c r="BG176" s="17"/>
      <c r="BH176" s="17"/>
      <c r="BI176" s="17"/>
      <c r="BJ176" s="17"/>
    </row>
    <row r="177" spans="1:62" ht="15.75" hidden="1" customHeight="1" outlineLevel="1">
      <c r="A177" s="28" t="s">
        <v>122</v>
      </c>
      <c r="B177" s="28">
        <f t="shared" ref="B177:L177" si="440">$M177*B$176</f>
        <v>0</v>
      </c>
      <c r="C177" s="28">
        <f t="shared" si="440"/>
        <v>7970906.1944460012</v>
      </c>
      <c r="D177" s="28">
        <f t="shared" si="440"/>
        <v>15941812.388892002</v>
      </c>
      <c r="E177" s="28">
        <f t="shared" si="440"/>
        <v>1270706919184058.8</v>
      </c>
      <c r="F177" s="28">
        <f t="shared" si="440"/>
        <v>1.0128685653449607E+23</v>
      </c>
      <c r="G177" s="28">
        <f t="shared" si="440"/>
        <v>8.0734803216677805E+30</v>
      </c>
      <c r="H177" s="28">
        <f t="shared" si="440"/>
        <v>6.43529543067196E+38</v>
      </c>
      <c r="I177" s="28">
        <f t="shared" si="440"/>
        <v>6.43529543067196E+38</v>
      </c>
      <c r="J177" s="28">
        <f t="shared" si="440"/>
        <v>6.43529543067196E+38</v>
      </c>
      <c r="K177" s="28">
        <f t="shared" si="440"/>
        <v>6.43529543067196E+38</v>
      </c>
      <c r="L177" s="28">
        <f t="shared" si="440"/>
        <v>6.43529543067196E+38</v>
      </c>
      <c r="M177" s="28">
        <f>O88</f>
        <v>79709061.944460005</v>
      </c>
      <c r="N177" s="28"/>
      <c r="O177" s="30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30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</row>
    <row r="178" spans="1:62" ht="15.75" hidden="1" customHeight="1" outlineLevel="1">
      <c r="A178" s="28" t="s">
        <v>123</v>
      </c>
      <c r="B178" s="28">
        <f t="shared" ref="B178:M178" si="441">B179+B180</f>
        <v>1.2561782686199206E+38</v>
      </c>
      <c r="C178" s="28">
        <f t="shared" si="441"/>
        <v>1.2561782686199206E+38</v>
      </c>
      <c r="D178" s="28">
        <f t="shared" si="441"/>
        <v>1.2561782686199206E+38</v>
      </c>
      <c r="E178" s="28">
        <f t="shared" si="441"/>
        <v>1.2561782686199206E+38</v>
      </c>
      <c r="F178" s="28">
        <f t="shared" si="441"/>
        <v>1.256178268619921E+38</v>
      </c>
      <c r="G178" s="28">
        <f t="shared" si="441"/>
        <v>1.2561783001953552E+38</v>
      </c>
      <c r="H178" s="28">
        <f t="shared" si="441"/>
        <v>3.7730265370281967E+38</v>
      </c>
      <c r="I178" s="28">
        <f t="shared" si="441"/>
        <v>3.7730265370281967E+38</v>
      </c>
      <c r="J178" s="28">
        <f t="shared" si="441"/>
        <v>3.7730265370281967E+38</v>
      </c>
      <c r="K178" s="28">
        <f t="shared" si="441"/>
        <v>3.7730265370281967E+38</v>
      </c>
      <c r="L178" s="28">
        <f t="shared" si="441"/>
        <v>3.7730265370281967E+38</v>
      </c>
      <c r="M178" s="28">
        <f t="shared" si="441"/>
        <v>46733581.884160504</v>
      </c>
      <c r="N178" s="28"/>
      <c r="O178" s="30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30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</row>
    <row r="179" spans="1:62" ht="15.75" hidden="1" customHeight="1" outlineLevel="1">
      <c r="A179" s="28" t="s">
        <v>67</v>
      </c>
      <c r="B179" s="28">
        <f t="shared" ref="B179:L179" si="442">$M$179*B176</f>
        <v>0</v>
      </c>
      <c r="C179" s="28">
        <f t="shared" si="442"/>
        <v>3117426.6464160504</v>
      </c>
      <c r="D179" s="28">
        <f t="shared" si="442"/>
        <v>6234853.2928321008</v>
      </c>
      <c r="E179" s="28">
        <f t="shared" si="442"/>
        <v>496974310450401</v>
      </c>
      <c r="F179" s="28">
        <f t="shared" si="442"/>
        <v>3.9613356096496316E+22</v>
      </c>
      <c r="G179" s="28">
        <f t="shared" si="442"/>
        <v>3.1575434549235767E+30</v>
      </c>
      <c r="H179" s="28">
        <f t="shared" si="442"/>
        <v>2.5168482684082763E+38</v>
      </c>
      <c r="I179" s="28">
        <f t="shared" si="442"/>
        <v>2.5168482684082763E+38</v>
      </c>
      <c r="J179" s="28">
        <f t="shared" si="442"/>
        <v>2.5168482684082763E+38</v>
      </c>
      <c r="K179" s="28">
        <f t="shared" si="442"/>
        <v>2.5168482684082763E+38</v>
      </c>
      <c r="L179" s="28">
        <f t="shared" si="442"/>
        <v>2.5168482684082763E+38</v>
      </c>
      <c r="M179" s="28">
        <f>O94</f>
        <v>31174266.464160502</v>
      </c>
      <c r="N179" s="28"/>
      <c r="O179" s="30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30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</row>
    <row r="180" spans="1:62" ht="15.75" hidden="1" customHeight="1" outlineLevel="1">
      <c r="A180" s="28" t="s">
        <v>86</v>
      </c>
      <c r="B180" s="28">
        <f t="shared" ref="B180:K180" si="443">$L$180</f>
        <v>1.2561782686199206E+38</v>
      </c>
      <c r="C180" s="28">
        <f t="shared" si="443"/>
        <v>1.2561782686199206E+38</v>
      </c>
      <c r="D180" s="28">
        <f t="shared" si="443"/>
        <v>1.2561782686199206E+38</v>
      </c>
      <c r="E180" s="28">
        <f t="shared" si="443"/>
        <v>1.2561782686199206E+38</v>
      </c>
      <c r="F180" s="28">
        <f t="shared" si="443"/>
        <v>1.2561782686199206E+38</v>
      </c>
      <c r="G180" s="28">
        <f t="shared" si="443"/>
        <v>1.2561782686199206E+38</v>
      </c>
      <c r="H180" s="28">
        <f t="shared" si="443"/>
        <v>1.2561782686199206E+38</v>
      </c>
      <c r="I180" s="28">
        <f t="shared" si="443"/>
        <v>1.2561782686199206E+38</v>
      </c>
      <c r="J180" s="28">
        <f t="shared" si="443"/>
        <v>1.2561782686199206E+38</v>
      </c>
      <c r="K180" s="28">
        <f t="shared" si="443"/>
        <v>1.2561782686199206E+38</v>
      </c>
      <c r="L180" s="28">
        <f>$M180*L$176</f>
        <v>1.2561782686199206E+38</v>
      </c>
      <c r="M180" s="28">
        <f>O115</f>
        <v>15559315.42</v>
      </c>
      <c r="N180" s="28"/>
      <c r="O180" s="3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30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</row>
    <row r="181" spans="1:62" ht="15.75" hidden="1" customHeight="1" outlineLevel="1">
      <c r="A181" s="28" t="s">
        <v>124</v>
      </c>
      <c r="B181" s="28">
        <f t="shared" ref="B181:K182" si="444">$M181*B$176</f>
        <v>0</v>
      </c>
      <c r="C181" s="28">
        <f t="shared" si="444"/>
        <v>339.45084480000008</v>
      </c>
      <c r="D181" s="28">
        <f t="shared" si="444"/>
        <v>678.90168960000017</v>
      </c>
      <c r="E181" s="28">
        <f t="shared" si="444"/>
        <v>54114617169.975815</v>
      </c>
      <c r="F181" s="28">
        <f t="shared" si="444"/>
        <v>4.3134253721023411E+18</v>
      </c>
      <c r="G181" s="28">
        <f t="shared" si="444"/>
        <v>3.4381909017771096E+26</v>
      </c>
      <c r="H181" s="28">
        <f t="shared" si="444"/>
        <v>2.7405497156663042E+34</v>
      </c>
      <c r="I181" s="28">
        <f t="shared" si="444"/>
        <v>2.7405497156663042E+34</v>
      </c>
      <c r="J181" s="28">
        <f t="shared" si="444"/>
        <v>2.7405497156663042E+34</v>
      </c>
      <c r="K181" s="28">
        <f t="shared" si="444"/>
        <v>2.7405497156663042E+34</v>
      </c>
      <c r="L181" s="28">
        <f>$M181*L$176</f>
        <v>2.7405497156663042E+34</v>
      </c>
      <c r="M181" s="28">
        <f>O65+O67+O69</f>
        <v>3394.5084480000005</v>
      </c>
      <c r="N181" s="28"/>
      <c r="O181" s="30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30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</row>
    <row r="182" spans="1:62" ht="15.75" hidden="1" customHeight="1" outlineLevel="1">
      <c r="A182" s="28" t="s">
        <v>125</v>
      </c>
      <c r="B182" s="28">
        <f t="shared" si="444"/>
        <v>0</v>
      </c>
      <c r="C182" s="28">
        <f t="shared" si="444"/>
        <v>28.3</v>
      </c>
      <c r="D182" s="28">
        <f t="shared" si="444"/>
        <v>56.6</v>
      </c>
      <c r="E182" s="28">
        <f t="shared" si="444"/>
        <v>4511532934.3564367</v>
      </c>
      <c r="F182" s="28">
        <f t="shared" si="444"/>
        <v>3.5961005812908864E+17</v>
      </c>
      <c r="G182" s="28">
        <f t="shared" si="444"/>
        <v>2.866418039926239E+25</v>
      </c>
      <c r="H182" s="28">
        <f t="shared" si="444"/>
        <v>2.284794931031982E+33</v>
      </c>
      <c r="I182" s="28">
        <f t="shared" si="444"/>
        <v>2.284794931031982E+33</v>
      </c>
      <c r="J182" s="28">
        <f t="shared" si="444"/>
        <v>2.284794931031982E+33</v>
      </c>
      <c r="K182" s="28">
        <f t="shared" si="444"/>
        <v>2.284794931031982E+33</v>
      </c>
      <c r="L182" s="28">
        <f>$M182*L$176</f>
        <v>2.284794931031982E+33</v>
      </c>
      <c r="M182" s="28">
        <f>ROUND(M181/12,0)</f>
        <v>283</v>
      </c>
      <c r="N182" s="28"/>
      <c r="O182" s="30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30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</row>
    <row r="183" spans="1:62" ht="15.75" hidden="1" customHeight="1" outlineLevel="1">
      <c r="A183" s="28" t="s">
        <v>126</v>
      </c>
      <c r="B183" s="28">
        <f t="shared" ref="B183:L183" si="445">B177-B178</f>
        <v>-1.2561782686199206E+38</v>
      </c>
      <c r="C183" s="28">
        <f t="shared" si="445"/>
        <v>-1.2561782686199206E+38</v>
      </c>
      <c r="D183" s="28">
        <f t="shared" si="445"/>
        <v>-1.2561782686199206E+38</v>
      </c>
      <c r="E183" s="28">
        <f t="shared" si="445"/>
        <v>-1.2561782686199206E+38</v>
      </c>
      <c r="F183" s="28">
        <f t="shared" si="445"/>
        <v>-1.25617826861992E+38</v>
      </c>
      <c r="G183" s="28">
        <f t="shared" si="445"/>
        <v>-1.2561782194605521E+38</v>
      </c>
      <c r="H183" s="28">
        <f t="shared" si="445"/>
        <v>2.6622688936437633E+38</v>
      </c>
      <c r="I183" s="28">
        <f t="shared" si="445"/>
        <v>2.6622688936437633E+38</v>
      </c>
      <c r="J183" s="28">
        <f t="shared" si="445"/>
        <v>2.6622688936437633E+38</v>
      </c>
      <c r="K183" s="28">
        <f t="shared" si="445"/>
        <v>2.6622688936437633E+38</v>
      </c>
      <c r="L183" s="28">
        <f t="shared" si="445"/>
        <v>2.6622688936437633E+38</v>
      </c>
      <c r="M183" s="28"/>
      <c r="N183" s="28"/>
      <c r="O183" s="30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30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</row>
    <row r="184" spans="1:62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65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65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</row>
    <row r="185" spans="1:62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65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65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</row>
    <row r="186" spans="1:62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1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1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</row>
    <row r="187" spans="1:62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1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</row>
    <row r="188" spans="1:62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1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</row>
    <row r="189" spans="1:62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1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</row>
    <row r="190" spans="1:62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1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</row>
    <row r="191" spans="1:62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1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</row>
    <row r="192" spans="1:6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1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</row>
    <row r="193" spans="1:6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1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</row>
    <row r="194" spans="1:63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1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</row>
    <row r="195" spans="1:63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1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</row>
    <row r="196" spans="1:63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1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</row>
    <row r="197" spans="1:63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1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</row>
    <row r="198" spans="1:63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1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</row>
    <row r="199" spans="1:63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1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</row>
    <row r="200" spans="1:63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1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</row>
    <row r="201" spans="1:63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</row>
    <row r="202" spans="1:63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1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</row>
    <row r="203" spans="1:6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1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1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</row>
    <row r="204" spans="1:63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1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1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</row>
    <row r="205" spans="1:63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1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1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</row>
    <row r="206" spans="1:63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1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1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</row>
    <row r="207" spans="1:63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1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1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</row>
    <row r="208" spans="1:63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1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</row>
    <row r="209" spans="1:63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1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1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</row>
    <row r="210" spans="1:63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1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1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</row>
    <row r="211" spans="1:63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1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1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</row>
    <row r="212" spans="1:63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1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1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</row>
    <row r="213" spans="1:6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1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1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</row>
    <row r="214" spans="1:63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1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1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</row>
    <row r="215" spans="1:63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1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1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</row>
    <row r="216" spans="1:63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1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</row>
    <row r="217" spans="1:63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1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1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</row>
    <row r="218" spans="1:63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1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1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</row>
    <row r="219" spans="1:63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1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1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</row>
    <row r="220" spans="1:63" ht="15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1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1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</row>
    <row r="221" spans="1:63" ht="15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1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1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</row>
    <row r="222" spans="1:63" ht="15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1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1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</row>
    <row r="223" spans="1:63" ht="15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1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1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</row>
    <row r="224" spans="1:63" ht="15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1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1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</row>
    <row r="225" spans="1:63" ht="15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1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1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</row>
    <row r="226" spans="1:63" ht="15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1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</row>
    <row r="227" spans="1:63" ht="15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1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1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</row>
    <row r="228" spans="1:63" ht="15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1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1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</row>
    <row r="229" spans="1:63" ht="15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1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1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</row>
    <row r="230" spans="1:63" ht="15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1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1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</row>
    <row r="231" spans="1:63" ht="15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1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1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</row>
    <row r="232" spans="1:63" ht="15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1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1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</row>
    <row r="233" spans="1:63" ht="15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1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1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</row>
    <row r="234" spans="1:63" ht="15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1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1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</row>
    <row r="235" spans="1:63" ht="15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1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1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</row>
    <row r="236" spans="1:63" ht="15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1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1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</row>
    <row r="237" spans="1:63" ht="15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1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1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</row>
    <row r="238" spans="1:63" ht="15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1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1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</row>
    <row r="239" spans="1:63" ht="15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1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</row>
    <row r="240" spans="1:63" ht="15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1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1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</row>
    <row r="241" spans="1:63" ht="15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1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1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</row>
    <row r="242" spans="1:63" ht="15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1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1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</row>
    <row r="243" spans="1:63" ht="15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1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1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</row>
    <row r="244" spans="1:63" ht="15.75" customHeight="1" collapsed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1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1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</row>
    <row r="245" spans="1:63" ht="15.75" hidden="1" customHeight="1" outlineLevel="1">
      <c r="A245" s="67"/>
      <c r="B245" s="67" t="s">
        <v>127</v>
      </c>
      <c r="C245" s="68">
        <f>IFERROR(IRR(C246:C249),"")</f>
        <v>0.55521264908938739</v>
      </c>
      <c r="D245" s="67"/>
      <c r="E245" s="69">
        <f t="shared" ref="E245:AP245" si="446">E238</f>
        <v>0</v>
      </c>
      <c r="F245" s="69">
        <f t="shared" si="446"/>
        <v>0</v>
      </c>
      <c r="G245" s="69">
        <f t="shared" si="446"/>
        <v>0</v>
      </c>
      <c r="H245" s="69">
        <f t="shared" si="446"/>
        <v>0</v>
      </c>
      <c r="I245" s="69">
        <f t="shared" si="446"/>
        <v>0</v>
      </c>
      <c r="J245" s="69">
        <f t="shared" si="446"/>
        <v>0</v>
      </c>
      <c r="K245" s="69">
        <f t="shared" si="446"/>
        <v>0</v>
      </c>
      <c r="L245" s="69">
        <f t="shared" si="446"/>
        <v>0</v>
      </c>
      <c r="M245" s="69">
        <f t="shared" si="446"/>
        <v>0</v>
      </c>
      <c r="N245" s="69">
        <f t="shared" si="446"/>
        <v>0</v>
      </c>
      <c r="O245" s="70">
        <f t="shared" si="446"/>
        <v>0</v>
      </c>
      <c r="P245" s="69">
        <f t="shared" si="446"/>
        <v>0</v>
      </c>
      <c r="Q245" s="69">
        <f t="shared" si="446"/>
        <v>0</v>
      </c>
      <c r="R245" s="69">
        <f t="shared" si="446"/>
        <v>0</v>
      </c>
      <c r="S245" s="69">
        <f t="shared" si="446"/>
        <v>0</v>
      </c>
      <c r="T245" s="69">
        <f t="shared" si="446"/>
        <v>0</v>
      </c>
      <c r="U245" s="69">
        <f t="shared" si="446"/>
        <v>0</v>
      </c>
      <c r="V245" s="69">
        <f t="shared" si="446"/>
        <v>0</v>
      </c>
      <c r="W245" s="69">
        <f t="shared" si="446"/>
        <v>0</v>
      </c>
      <c r="X245" s="69">
        <f t="shared" si="446"/>
        <v>0</v>
      </c>
      <c r="Y245" s="69">
        <f t="shared" si="446"/>
        <v>0</v>
      </c>
      <c r="Z245" s="69">
        <f t="shared" si="446"/>
        <v>0</v>
      </c>
      <c r="AA245" s="69">
        <f t="shared" si="446"/>
        <v>0</v>
      </c>
      <c r="AB245" s="70">
        <f t="shared" si="446"/>
        <v>0</v>
      </c>
      <c r="AC245" s="69">
        <f t="shared" si="446"/>
        <v>0</v>
      </c>
      <c r="AD245" s="69">
        <f t="shared" si="446"/>
        <v>0</v>
      </c>
      <c r="AE245" s="69">
        <f t="shared" si="446"/>
        <v>0</v>
      </c>
      <c r="AF245" s="69">
        <f t="shared" si="446"/>
        <v>0</v>
      </c>
      <c r="AG245" s="69">
        <f t="shared" si="446"/>
        <v>0</v>
      </c>
      <c r="AH245" s="69">
        <f t="shared" si="446"/>
        <v>0</v>
      </c>
      <c r="AI245" s="69">
        <f t="shared" si="446"/>
        <v>0</v>
      </c>
      <c r="AJ245" s="69">
        <f t="shared" si="446"/>
        <v>0</v>
      </c>
      <c r="AK245" s="69">
        <f t="shared" si="446"/>
        <v>0</v>
      </c>
      <c r="AL245" s="69">
        <f t="shared" si="446"/>
        <v>0</v>
      </c>
      <c r="AM245" s="69">
        <f t="shared" si="446"/>
        <v>0</v>
      </c>
      <c r="AN245" s="69">
        <f t="shared" si="446"/>
        <v>0</v>
      </c>
      <c r="AO245" s="69">
        <f t="shared" si="446"/>
        <v>0</v>
      </c>
      <c r="AP245" s="69">
        <f t="shared" si="446"/>
        <v>0</v>
      </c>
      <c r="AQ245" s="69">
        <f t="shared" ref="AQ245:AT245" si="447">AR238</f>
        <v>0</v>
      </c>
      <c r="AR245" s="69">
        <f t="shared" si="447"/>
        <v>0</v>
      </c>
      <c r="AS245" s="69">
        <f t="shared" si="447"/>
        <v>0</v>
      </c>
      <c r="AT245" s="69">
        <f t="shared" si="447"/>
        <v>0</v>
      </c>
      <c r="AU245" s="69">
        <f t="shared" ref="AU245:AY245" si="448">AW238</f>
        <v>0</v>
      </c>
      <c r="AV245" s="69">
        <f t="shared" si="448"/>
        <v>0</v>
      </c>
      <c r="AW245" s="69">
        <f t="shared" si="448"/>
        <v>0</v>
      </c>
      <c r="AX245" s="69">
        <f t="shared" si="448"/>
        <v>0</v>
      </c>
      <c r="AY245" s="69">
        <f t="shared" si="448"/>
        <v>0</v>
      </c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9"/>
      <c r="BK245" s="69"/>
    </row>
    <row r="246" spans="1:63" ht="15.75" hidden="1" customHeight="1" outlineLevel="1">
      <c r="A246" s="67"/>
      <c r="B246" s="67" t="s">
        <v>128</v>
      </c>
      <c r="C246" s="69">
        <f>-B7</f>
        <v>-5000000</v>
      </c>
      <c r="D246" s="67"/>
      <c r="E246" s="67">
        <f>-$B$17+C133</f>
        <v>-4653612.6689999998</v>
      </c>
      <c r="F246" s="67">
        <f t="shared" ref="F246:H246" si="449">E247+D134</f>
        <v>863648.36300000013</v>
      </c>
      <c r="G246" s="67">
        <f t="shared" si="449"/>
        <v>863648.36300000013</v>
      </c>
      <c r="H246" s="67">
        <f t="shared" si="449"/>
        <v>1259067.1940000001</v>
      </c>
      <c r="I246" s="67">
        <f t="shared" ref="I246:N246" si="450">H246+G133</f>
        <v>1259067.1940000001</v>
      </c>
      <c r="J246" s="67">
        <f t="shared" si="450"/>
        <v>1822946.1116000002</v>
      </c>
      <c r="K246" s="67">
        <f t="shared" si="450"/>
        <v>1822946.1116000002</v>
      </c>
      <c r="L246" s="67">
        <f t="shared" si="450"/>
        <v>2772351.5343200001</v>
      </c>
      <c r="M246" s="67">
        <f t="shared" si="450"/>
        <v>3455905.5687199999</v>
      </c>
      <c r="N246" s="67">
        <f t="shared" si="450"/>
        <v>4453894.6224559993</v>
      </c>
      <c r="O246" s="71">
        <f>N246+M133</f>
        <v>5196539.9229427995</v>
      </c>
      <c r="P246" s="67">
        <f>O246+N133</f>
        <v>6310594.29759314</v>
      </c>
      <c r="Q246" s="67"/>
      <c r="R246" s="67">
        <f>P246+P133</f>
        <v>6310594.29759314</v>
      </c>
      <c r="S246" s="67">
        <f t="shared" ref="S246:AA246" si="451">R246+Q133</f>
        <v>6310594.29759314</v>
      </c>
      <c r="T246" s="67">
        <f t="shared" si="451"/>
        <v>6310594.29759314</v>
      </c>
      <c r="U246" s="67">
        <f t="shared" si="451"/>
        <v>6310594.29759314</v>
      </c>
      <c r="V246" s="67">
        <f t="shared" si="451"/>
        <v>6310594.29759314</v>
      </c>
      <c r="W246" s="67">
        <f t="shared" si="451"/>
        <v>6335177.2187775364</v>
      </c>
      <c r="X246" s="67">
        <f t="shared" si="451"/>
        <v>6445395.3585792771</v>
      </c>
      <c r="Y246" s="67">
        <f t="shared" si="451"/>
        <v>6640445.8506814046</v>
      </c>
      <c r="Z246" s="67">
        <f t="shared" si="451"/>
        <v>6969178.4576086421</v>
      </c>
      <c r="AA246" s="67">
        <f t="shared" si="451"/>
        <v>7414724.9126967201</v>
      </c>
      <c r="AB246" s="71"/>
      <c r="AC246" s="67">
        <f>AB246+AA133</f>
        <v>804436.86775973195</v>
      </c>
      <c r="AD246" s="67"/>
      <c r="AE246" s="67">
        <f>AC246+AC133</f>
        <v>804436.86775973195</v>
      </c>
      <c r="AF246" s="67">
        <f t="shared" ref="AF246:AN246" si="452">AE246+AD133</f>
        <v>804436.86775973195</v>
      </c>
      <c r="AG246" s="67">
        <f t="shared" si="452"/>
        <v>806920.1591567588</v>
      </c>
      <c r="AH246" s="67">
        <f t="shared" si="452"/>
        <v>823585.75915675878</v>
      </c>
      <c r="AI246" s="67">
        <f t="shared" si="452"/>
        <v>840251.35915675876</v>
      </c>
      <c r="AJ246" s="67">
        <f t="shared" si="452"/>
        <v>856916.95915675873</v>
      </c>
      <c r="AK246" s="67">
        <f t="shared" si="452"/>
        <v>873582.55915675871</v>
      </c>
      <c r="AL246" s="67">
        <f t="shared" si="452"/>
        <v>890248.15915675869</v>
      </c>
      <c r="AM246" s="67">
        <f t="shared" si="452"/>
        <v>906913.75915675866</v>
      </c>
      <c r="AN246" s="67">
        <f t="shared" si="452"/>
        <v>923579.35915675864</v>
      </c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9"/>
      <c r="BK246" s="69"/>
    </row>
    <row r="247" spans="1:63" ht="15.75" hidden="1" customHeight="1" outlineLevel="1">
      <c r="A247" s="67"/>
      <c r="B247" s="67" t="s">
        <v>129</v>
      </c>
      <c r="C247" s="69">
        <f>O133</f>
        <v>6116841.6403931398</v>
      </c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71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71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9"/>
      <c r="BK247" s="69"/>
    </row>
    <row r="248" spans="1:63" ht="15.75" hidden="1" customHeight="1" outlineLevel="1">
      <c r="A248" s="67"/>
      <c r="B248" s="67" t="s">
        <v>130</v>
      </c>
      <c r="C248" s="69">
        <f>AB133</f>
        <v>2482402.0141936811</v>
      </c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71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71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9"/>
      <c r="BK248" s="69"/>
    </row>
    <row r="249" spans="1:63" ht="15.75" hidden="1" customHeight="1" outlineLevel="1">
      <c r="A249" s="67"/>
      <c r="B249" s="67" t="s">
        <v>131</v>
      </c>
      <c r="C249" s="69">
        <f>AO133</f>
        <v>152473.69139702694</v>
      </c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71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71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9"/>
      <c r="BK249" s="69"/>
    </row>
    <row r="250" spans="1:63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70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70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</row>
    <row r="251" spans="1:63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70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70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</row>
    <row r="252" spans="1:63" ht="15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1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1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</row>
    <row r="253" spans="1:63" ht="15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1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1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</row>
    <row r="254" spans="1:63" ht="15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1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1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</row>
    <row r="255" spans="1:63" ht="15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1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1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</row>
    <row r="256" spans="1:63" ht="15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1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1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</row>
    <row r="257" spans="1:63" ht="15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1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1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</row>
    <row r="258" spans="1:63" ht="15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1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1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</row>
    <row r="259" spans="1:63" ht="15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1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1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</row>
    <row r="260" spans="1:63" ht="15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1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1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</row>
    <row r="261" spans="1:63" ht="15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1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1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</row>
    <row r="262" spans="1:63" ht="15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1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1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</row>
    <row r="263" spans="1:63" ht="15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1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1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</row>
    <row r="264" spans="1:63" ht="15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1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1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</row>
    <row r="265" spans="1:63" ht="15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1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1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</row>
    <row r="266" spans="1:63" ht="15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1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1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</row>
    <row r="267" spans="1:63" ht="15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1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1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</row>
    <row r="268" spans="1:63" ht="15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1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1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</row>
    <row r="269" spans="1:63" ht="15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1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1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</row>
    <row r="270" spans="1:63" ht="15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1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1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</row>
    <row r="271" spans="1:63" ht="15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1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1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</row>
    <row r="272" spans="1:63" ht="15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1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1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</row>
    <row r="273" spans="1:63" ht="15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1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1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</row>
    <row r="274" spans="1:63" ht="15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1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1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</row>
    <row r="275" spans="1:63" ht="15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1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1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</row>
    <row r="276" spans="1:63" ht="15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1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</row>
    <row r="277" spans="1:63" ht="15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1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1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</row>
    <row r="278" spans="1:63" ht="15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1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1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</row>
    <row r="279" spans="1:63" ht="15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1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</row>
    <row r="280" spans="1:63" ht="15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1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1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</row>
    <row r="281" spans="1:63" ht="15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1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1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</row>
    <row r="282" spans="1:63" ht="15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1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1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</row>
    <row r="283" spans="1:63" ht="15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1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1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</row>
    <row r="284" spans="1:63" ht="15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1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1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</row>
    <row r="285" spans="1:63" ht="15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1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1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</row>
    <row r="286" spans="1:63" ht="15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1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1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</row>
    <row r="287" spans="1:63" ht="15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1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1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</row>
    <row r="288" spans="1:63" ht="15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1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1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</row>
    <row r="289" spans="1:63" ht="15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1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1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</row>
    <row r="290" spans="1:63" ht="15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1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1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</row>
    <row r="291" spans="1:63" ht="15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1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1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</row>
    <row r="292" spans="1:63" ht="15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1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1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</row>
    <row r="293" spans="1:63" ht="15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1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1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</row>
    <row r="294" spans="1:63" ht="15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1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1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</row>
    <row r="295" spans="1:63" ht="15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1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1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</row>
    <row r="296" spans="1:63" ht="15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1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1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</row>
    <row r="297" spans="1:63" ht="15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1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1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</row>
    <row r="298" spans="1:63" ht="15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1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1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</row>
    <row r="299" spans="1:63" ht="15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1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1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</row>
    <row r="300" spans="1:63" ht="15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1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1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</row>
    <row r="301" spans="1:63" ht="15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1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1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</row>
    <row r="302" spans="1:63" ht="15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1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1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</row>
    <row r="303" spans="1:63" ht="15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1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1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</row>
    <row r="304" spans="1:63" ht="15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1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1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</row>
    <row r="305" spans="1:63" ht="15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1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1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</row>
    <row r="306" spans="1:63" ht="15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1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1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</row>
    <row r="307" spans="1:63" ht="15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1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1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</row>
    <row r="308" spans="1:63" ht="15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1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1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</row>
    <row r="309" spans="1:63" ht="15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1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1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</row>
    <row r="310" spans="1:63" ht="15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1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1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</row>
    <row r="311" spans="1:63" ht="15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1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1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</row>
    <row r="312" spans="1:63" ht="15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1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1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</row>
    <row r="313" spans="1:63" ht="15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1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1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</row>
    <row r="314" spans="1:63" ht="15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1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1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</row>
    <row r="315" spans="1:63" ht="15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1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1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</row>
    <row r="316" spans="1:63" ht="15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1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1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</row>
    <row r="317" spans="1:63" ht="15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1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1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</row>
    <row r="318" spans="1:63" ht="15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1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1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</row>
    <row r="319" spans="1:63" ht="15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1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1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</row>
    <row r="320" spans="1:63" ht="15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1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1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</row>
    <row r="321" spans="1:63" ht="15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1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1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</row>
    <row r="322" spans="1:63" ht="15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1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1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</row>
    <row r="323" spans="1:63" ht="15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1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1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</row>
    <row r="324" spans="1:63" ht="15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1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1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</row>
    <row r="325" spans="1:63" ht="15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1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1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</row>
    <row r="326" spans="1:63" ht="15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1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1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</row>
    <row r="327" spans="1:63" ht="15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1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1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</row>
    <row r="328" spans="1:63" ht="15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1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1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</row>
    <row r="329" spans="1:63" ht="15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1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1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</row>
    <row r="330" spans="1:63" ht="15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1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1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</row>
    <row r="331" spans="1:63" ht="15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1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1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</row>
    <row r="332" spans="1:63" ht="15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1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1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</row>
    <row r="333" spans="1:63" ht="15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1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1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</row>
    <row r="334" spans="1:63" ht="15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1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1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</row>
    <row r="335" spans="1:63" ht="15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1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1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</row>
    <row r="336" spans="1:63" ht="15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1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1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</row>
    <row r="337" spans="1:63" ht="15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1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1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</row>
    <row r="338" spans="1:63" ht="15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1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1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</row>
    <row r="339" spans="1:63" ht="15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1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1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</row>
    <row r="340" spans="1:63" ht="15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1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1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</row>
    <row r="341" spans="1:63" ht="15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1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1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</row>
    <row r="342" spans="1:63" ht="15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1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1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</row>
    <row r="343" spans="1:63" ht="15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1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1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</row>
    <row r="344" spans="1:63" ht="15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1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1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</row>
    <row r="345" spans="1:63" ht="15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1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1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</row>
    <row r="346" spans="1:63" ht="15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1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1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</row>
    <row r="347" spans="1:63" ht="15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1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1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</row>
    <row r="348" spans="1:63" ht="15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1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1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</row>
    <row r="349" spans="1:63" ht="15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1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1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</row>
    <row r="350" spans="1:63" ht="15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1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1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</row>
    <row r="351" spans="1:63" ht="15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1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1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</row>
    <row r="352" spans="1:63" ht="15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1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1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</row>
    <row r="353" spans="1:63" ht="15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1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1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</row>
    <row r="354" spans="1:63" ht="15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1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1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</row>
    <row r="355" spans="1:63" ht="15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1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1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</row>
    <row r="356" spans="1:63" ht="15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1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1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</row>
    <row r="357" spans="1:63" ht="15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1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1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</row>
    <row r="358" spans="1:63" ht="15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1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1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</row>
    <row r="359" spans="1:63" ht="15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1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1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</row>
    <row r="360" spans="1:63" ht="15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1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1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</row>
    <row r="361" spans="1:63" ht="15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1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1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</row>
    <row r="362" spans="1:63" ht="15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1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1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</row>
    <row r="363" spans="1:63" ht="15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1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1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</row>
    <row r="364" spans="1:63" ht="15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1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1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</row>
    <row r="365" spans="1:63" ht="15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1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1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</row>
    <row r="366" spans="1:63" ht="15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1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1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</row>
    <row r="367" spans="1:63" ht="15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1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1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</row>
    <row r="368" spans="1:63" ht="15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1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1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</row>
    <row r="369" spans="1:63" ht="15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1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1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</row>
    <row r="370" spans="1:63" ht="15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1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1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</row>
    <row r="371" spans="1:63" ht="15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1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1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</row>
    <row r="372" spans="1:63" ht="15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1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1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</row>
    <row r="373" spans="1:63" ht="15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1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1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</row>
    <row r="374" spans="1:63" ht="15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1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1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</row>
    <row r="375" spans="1:63" ht="15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1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1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</row>
    <row r="376" spans="1:63" ht="15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1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1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</row>
    <row r="377" spans="1:63" ht="15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1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1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</row>
    <row r="378" spans="1:63" ht="15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1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1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</row>
    <row r="379" spans="1:63" ht="15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1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1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</row>
    <row r="380" spans="1:63" ht="15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1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1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</row>
    <row r="381" spans="1:63" ht="15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1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1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</row>
    <row r="382" spans="1:63" ht="15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1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1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</row>
    <row r="383" spans="1:63" ht="15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1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1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</row>
    <row r="384" spans="1:63" ht="15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1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1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</row>
    <row r="385" spans="1:63" ht="15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1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1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</row>
    <row r="386" spans="1:63" ht="15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1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1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</row>
    <row r="387" spans="1:63" ht="15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1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1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</row>
    <row r="388" spans="1:63" ht="15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1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1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</row>
    <row r="389" spans="1:63" ht="15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1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1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</row>
    <row r="390" spans="1:63" ht="15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1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1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</row>
    <row r="391" spans="1:63" ht="15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1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1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</row>
    <row r="392" spans="1:63" ht="15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1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1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</row>
    <row r="393" spans="1:63" ht="15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1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1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</row>
    <row r="394" spans="1:63" ht="15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1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1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</row>
    <row r="395" spans="1:63" ht="15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1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1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</row>
    <row r="396" spans="1:63" ht="15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1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1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</row>
    <row r="397" spans="1:63" ht="15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1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1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</row>
    <row r="398" spans="1:63" ht="15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1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1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</row>
    <row r="399" spans="1:63" ht="15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1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1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</row>
    <row r="400" spans="1:63" ht="15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1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1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</row>
    <row r="401" spans="1:63" ht="15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1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1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</row>
    <row r="402" spans="1:63" ht="15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1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1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</row>
    <row r="403" spans="1:63" ht="15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1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1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</row>
    <row r="404" spans="1:63" ht="15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1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1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</row>
    <row r="405" spans="1:63" ht="15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1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1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</row>
    <row r="406" spans="1:63" ht="15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1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1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</row>
    <row r="407" spans="1:63" ht="15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1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1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</row>
    <row r="408" spans="1:63" ht="15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1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1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</row>
    <row r="409" spans="1:63" ht="15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1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1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</row>
    <row r="410" spans="1:63" ht="15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1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1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</row>
    <row r="411" spans="1:63" ht="15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1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1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</row>
    <row r="412" spans="1:63" ht="15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1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1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</row>
    <row r="413" spans="1:63" ht="15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1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1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</row>
    <row r="414" spans="1:63" ht="15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1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1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</row>
    <row r="415" spans="1:63" ht="15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1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1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</row>
    <row r="416" spans="1:63" ht="15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1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1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</row>
    <row r="417" spans="1:63" ht="15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1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1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</row>
    <row r="418" spans="1:63" ht="15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1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1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</row>
    <row r="419" spans="1:63" ht="15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1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1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</row>
    <row r="420" spans="1:63" ht="15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1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1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</row>
    <row r="421" spans="1:63" ht="15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1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1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</row>
    <row r="422" spans="1:63" ht="15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1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1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</row>
    <row r="423" spans="1:63" ht="15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1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1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</row>
    <row r="424" spans="1:63" ht="15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1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1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</row>
    <row r="425" spans="1:63" ht="15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1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1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</row>
    <row r="426" spans="1:63" ht="15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1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1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</row>
    <row r="427" spans="1:63" ht="15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1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1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</row>
    <row r="428" spans="1:63" ht="15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1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1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</row>
    <row r="429" spans="1:63" ht="15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1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1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</row>
    <row r="430" spans="1:63" ht="15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1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1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</row>
    <row r="431" spans="1:63" ht="15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1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1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</row>
    <row r="432" spans="1:63" ht="15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1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1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</row>
    <row r="433" spans="1:63" ht="15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1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1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</row>
    <row r="434" spans="1:63" ht="15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1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1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</row>
    <row r="435" spans="1:63" ht="15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1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1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</row>
    <row r="436" spans="1:63" ht="15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1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1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</row>
    <row r="437" spans="1:63" ht="15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1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1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</row>
    <row r="438" spans="1:63" ht="15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1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1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</row>
    <row r="439" spans="1:63" ht="15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1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1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</row>
    <row r="440" spans="1:63" ht="15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1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1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</row>
    <row r="441" spans="1:63" ht="15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1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1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</row>
    <row r="442" spans="1:63" ht="15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1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1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</row>
    <row r="443" spans="1:63" ht="15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1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1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</row>
    <row r="444" spans="1:63" ht="15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1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1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</row>
    <row r="445" spans="1:63" ht="15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1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1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</row>
    <row r="446" spans="1:63" ht="15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1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1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</row>
    <row r="447" spans="1:63" ht="15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1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1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</row>
    <row r="448" spans="1:63" ht="15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1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1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</row>
    <row r="449" spans="1:63" ht="15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1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1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</row>
    <row r="450" spans="1:63" ht="15.75" customHeight="1"/>
    <row r="451" spans="1:63" ht="15.75" customHeight="1"/>
    <row r="452" spans="1:63" ht="15.75" customHeight="1"/>
    <row r="453" spans="1:63" ht="15.75" customHeight="1"/>
    <row r="454" spans="1:63" ht="15.75" customHeight="1"/>
    <row r="455" spans="1:63" ht="15.75" customHeight="1"/>
    <row r="456" spans="1:63" ht="15.75" customHeight="1"/>
    <row r="457" spans="1:63" ht="15.75" customHeight="1"/>
    <row r="458" spans="1:63" ht="15.75" customHeight="1"/>
    <row r="459" spans="1:63" ht="15.75" customHeight="1"/>
    <row r="460" spans="1:63" ht="15.75" customHeight="1"/>
    <row r="461" spans="1:63" ht="15.75" customHeight="1"/>
    <row r="462" spans="1:63" ht="15.75" customHeight="1"/>
    <row r="463" spans="1:63" ht="15.75" customHeight="1"/>
    <row r="464" spans="1:63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</sheetData>
  <mergeCells count="29">
    <mergeCell ref="J17:M17"/>
    <mergeCell ref="D6:H6"/>
    <mergeCell ref="J6:M6"/>
    <mergeCell ref="D7:G7"/>
    <mergeCell ref="J7:K7"/>
    <mergeCell ref="A8:A9"/>
    <mergeCell ref="B8:B9"/>
    <mergeCell ref="J8:K8"/>
    <mergeCell ref="J9:K9"/>
    <mergeCell ref="D8:G8"/>
    <mergeCell ref="D9:G9"/>
    <mergeCell ref="D10:G10"/>
    <mergeCell ref="J10:K10"/>
    <mergeCell ref="D11:G11"/>
    <mergeCell ref="J11:K11"/>
    <mergeCell ref="J12:K12"/>
    <mergeCell ref="D25:G25"/>
    <mergeCell ref="D12:G12"/>
    <mergeCell ref="D13:G13"/>
    <mergeCell ref="D14:G14"/>
    <mergeCell ref="D15:G15"/>
    <mergeCell ref="D17:H17"/>
    <mergeCell ref="D18:G18"/>
    <mergeCell ref="D19:G19"/>
    <mergeCell ref="D20:G20"/>
    <mergeCell ref="D21:G21"/>
    <mergeCell ref="D22:G22"/>
    <mergeCell ref="D23:G23"/>
    <mergeCell ref="D24:G24"/>
  </mergeCells>
  <dataValidations disablePrompts="1" count="1">
    <dataValidation type="list" allowBlank="1" sqref="B170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60E2-4832-4E46-8AEA-5E7D421A2ACB}">
  <dimension ref="A1:M13"/>
  <sheetViews>
    <sheetView workbookViewId="0">
      <selection activeCell="A14" sqref="A14"/>
    </sheetView>
  </sheetViews>
  <sheetFormatPr defaultColWidth="11.5546875" defaultRowHeight="13.2"/>
  <cols>
    <col min="1" max="1" width="23.77734375" bestFit="1" customWidth="1"/>
    <col min="2" max="2" width="15.33203125" bestFit="1" customWidth="1"/>
    <col min="3" max="3" width="11.88671875" bestFit="1" customWidth="1"/>
    <col min="4" max="4" width="12.77734375" bestFit="1" customWidth="1"/>
    <col min="5" max="5" width="5.44140625" bestFit="1" customWidth="1"/>
    <col min="6" max="6" width="7" bestFit="1" customWidth="1"/>
    <col min="7" max="7" width="15.33203125" bestFit="1" customWidth="1"/>
    <col min="8" max="8" width="4.77734375" bestFit="1" customWidth="1"/>
    <col min="9" max="9" width="11.88671875" bestFit="1" customWidth="1"/>
    <col min="10" max="10" width="13.77734375" bestFit="1" customWidth="1"/>
    <col min="11" max="11" width="9" bestFit="1" customWidth="1"/>
    <col min="12" max="12" width="7.77734375" bestFit="1" customWidth="1"/>
  </cols>
  <sheetData>
    <row r="1" spans="1:1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87</v>
      </c>
      <c r="C3">
        <v>1629</v>
      </c>
      <c r="D3">
        <v>3390</v>
      </c>
      <c r="E3">
        <v>1864</v>
      </c>
      <c r="F3">
        <v>45</v>
      </c>
      <c r="G3">
        <v>1864</v>
      </c>
      <c r="H3">
        <v>26</v>
      </c>
      <c r="I3">
        <v>1379</v>
      </c>
      <c r="J3" s="79">
        <v>162168</v>
      </c>
      <c r="K3">
        <v>3693</v>
      </c>
      <c r="L3">
        <v>5</v>
      </c>
    </row>
    <row r="4" spans="1:13">
      <c r="A4" t="s">
        <v>150</v>
      </c>
      <c r="B4">
        <v>92</v>
      </c>
      <c r="C4">
        <v>1706</v>
      </c>
      <c r="D4">
        <v>3390</v>
      </c>
      <c r="E4">
        <v>1864</v>
      </c>
      <c r="F4">
        <v>45</v>
      </c>
      <c r="G4">
        <v>1864</v>
      </c>
      <c r="H4">
        <v>25</v>
      </c>
      <c r="I4">
        <v>1398</v>
      </c>
      <c r="J4" s="79">
        <v>171488</v>
      </c>
      <c r="K4">
        <v>3681</v>
      </c>
      <c r="L4">
        <v>5</v>
      </c>
    </row>
    <row r="5" spans="1:13">
      <c r="A5" t="s">
        <v>151</v>
      </c>
      <c r="B5">
        <v>95</v>
      </c>
      <c r="C5">
        <v>1794</v>
      </c>
      <c r="D5">
        <v>3390</v>
      </c>
      <c r="E5">
        <v>1864</v>
      </c>
      <c r="F5">
        <v>45</v>
      </c>
      <c r="G5">
        <v>1864</v>
      </c>
      <c r="H5">
        <v>25</v>
      </c>
      <c r="I5">
        <v>1398</v>
      </c>
      <c r="J5" s="79">
        <v>177080</v>
      </c>
      <c r="K5">
        <v>3666</v>
      </c>
      <c r="L5">
        <v>5</v>
      </c>
    </row>
    <row r="6" spans="1:13">
      <c r="A6" t="s">
        <v>152</v>
      </c>
      <c r="B6">
        <v>71</v>
      </c>
      <c r="C6">
        <v>1889</v>
      </c>
      <c r="D6">
        <v>3390</v>
      </c>
      <c r="E6">
        <v>1864</v>
      </c>
      <c r="F6">
        <v>45</v>
      </c>
      <c r="G6">
        <v>1864</v>
      </c>
      <c r="H6">
        <v>25</v>
      </c>
      <c r="I6">
        <v>1398</v>
      </c>
      <c r="J6" s="79">
        <v>132344</v>
      </c>
      <c r="K6">
        <v>3651</v>
      </c>
      <c r="L6">
        <v>5</v>
      </c>
    </row>
    <row r="7" spans="1:13">
      <c r="A7" t="s">
        <v>153</v>
      </c>
      <c r="B7">
        <v>98</v>
      </c>
      <c r="C7">
        <v>1652</v>
      </c>
      <c r="D7">
        <v>3390</v>
      </c>
      <c r="E7">
        <v>1864</v>
      </c>
      <c r="F7">
        <v>45</v>
      </c>
      <c r="G7">
        <v>1864</v>
      </c>
      <c r="H7">
        <v>24</v>
      </c>
      <c r="I7">
        <v>1417</v>
      </c>
      <c r="J7" s="79">
        <v>182672</v>
      </c>
      <c r="K7">
        <v>3639</v>
      </c>
      <c r="L7">
        <v>5</v>
      </c>
    </row>
    <row r="8" spans="1:13">
      <c r="A8" t="s">
        <v>154</v>
      </c>
      <c r="B8">
        <v>80</v>
      </c>
      <c r="C8">
        <v>1745</v>
      </c>
      <c r="D8">
        <v>3390</v>
      </c>
      <c r="E8">
        <v>1864</v>
      </c>
      <c r="F8">
        <v>45</v>
      </c>
      <c r="G8">
        <v>1864</v>
      </c>
      <c r="H8">
        <v>23</v>
      </c>
      <c r="I8">
        <v>1435</v>
      </c>
      <c r="J8" s="79">
        <v>149120</v>
      </c>
      <c r="K8">
        <v>3626</v>
      </c>
      <c r="L8">
        <v>5</v>
      </c>
    </row>
    <row r="9" spans="1:13">
      <c r="A9" t="s">
        <v>155</v>
      </c>
      <c r="B9">
        <v>63</v>
      </c>
      <c r="C9">
        <v>1808</v>
      </c>
      <c r="D9">
        <v>3390</v>
      </c>
      <c r="E9">
        <v>1864</v>
      </c>
      <c r="F9">
        <v>45</v>
      </c>
      <c r="G9">
        <v>1864</v>
      </c>
      <c r="H9">
        <v>23</v>
      </c>
      <c r="I9">
        <v>1435</v>
      </c>
      <c r="J9" s="79">
        <v>117432</v>
      </c>
      <c r="K9">
        <v>3616</v>
      </c>
      <c r="L9">
        <v>5</v>
      </c>
    </row>
    <row r="10" spans="1:13">
      <c r="A10" t="s">
        <v>173</v>
      </c>
      <c r="B10">
        <f>SUM(B3:B9)</f>
        <v>586</v>
      </c>
      <c r="J10" t="s">
        <v>156</v>
      </c>
    </row>
    <row r="11" spans="1:13">
      <c r="A11" t="s">
        <v>174</v>
      </c>
      <c r="B11">
        <f>B10*4</f>
        <v>2344</v>
      </c>
      <c r="J11" t="s">
        <v>157</v>
      </c>
    </row>
    <row r="12" spans="1:13">
      <c r="A12" t="s">
        <v>176</v>
      </c>
      <c r="B12" s="80">
        <f>AVERAGE(B3:B9)</f>
        <v>83.714285714285708</v>
      </c>
    </row>
    <row r="13" spans="1:13">
      <c r="A13" t="s">
        <v>175</v>
      </c>
      <c r="B13" s="80">
        <f>B12*30</f>
        <v>2511.4285714285711</v>
      </c>
    </row>
  </sheetData>
  <mergeCells count="2">
    <mergeCell ref="B2:J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56BA-B2E3-4E52-AAB5-1E97835DBF50}">
  <dimension ref="A1:M15"/>
  <sheetViews>
    <sheetView workbookViewId="0">
      <selection activeCell="B12" sqref="B12"/>
    </sheetView>
  </sheetViews>
  <sheetFormatPr defaultRowHeight="13.2"/>
  <cols>
    <col min="1" max="1" width="19.88671875" bestFit="1" customWidth="1"/>
    <col min="2" max="2" width="17.109375" customWidth="1"/>
  </cols>
  <sheetData>
    <row r="1" spans="1:1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208</v>
      </c>
      <c r="C3">
        <v>1734</v>
      </c>
      <c r="D3">
        <v>1180</v>
      </c>
      <c r="E3">
        <v>967</v>
      </c>
      <c r="F3">
        <v>18</v>
      </c>
      <c r="G3">
        <v>967</v>
      </c>
      <c r="H3">
        <v>26</v>
      </c>
      <c r="I3">
        <v>716</v>
      </c>
      <c r="J3">
        <v>201136</v>
      </c>
      <c r="K3">
        <v>3999</v>
      </c>
      <c r="L3">
        <v>5</v>
      </c>
    </row>
    <row r="4" spans="1:13">
      <c r="A4" t="s">
        <v>150</v>
      </c>
      <c r="B4">
        <v>271</v>
      </c>
      <c r="C4">
        <v>1930</v>
      </c>
      <c r="D4">
        <v>1180</v>
      </c>
      <c r="E4">
        <v>967</v>
      </c>
      <c r="F4">
        <v>18</v>
      </c>
      <c r="G4">
        <v>967</v>
      </c>
      <c r="H4">
        <v>25</v>
      </c>
      <c r="I4">
        <v>725</v>
      </c>
      <c r="J4">
        <v>262057</v>
      </c>
      <c r="K4">
        <v>3953</v>
      </c>
      <c r="L4">
        <v>5</v>
      </c>
    </row>
    <row r="5" spans="1:13">
      <c r="A5" t="s">
        <v>151</v>
      </c>
      <c r="B5">
        <v>274</v>
      </c>
      <c r="C5">
        <v>1975</v>
      </c>
      <c r="D5">
        <v>1180</v>
      </c>
      <c r="E5">
        <v>967</v>
      </c>
      <c r="F5">
        <v>18</v>
      </c>
      <c r="G5">
        <v>967</v>
      </c>
      <c r="H5">
        <v>25</v>
      </c>
      <c r="I5">
        <v>725</v>
      </c>
      <c r="J5">
        <v>264958</v>
      </c>
      <c r="K5">
        <v>3909</v>
      </c>
      <c r="L5">
        <v>5</v>
      </c>
    </row>
    <row r="6" spans="1:13">
      <c r="A6" t="s">
        <v>152</v>
      </c>
      <c r="B6">
        <v>336</v>
      </c>
      <c r="C6">
        <v>2249</v>
      </c>
      <c r="D6">
        <v>1180</v>
      </c>
      <c r="E6">
        <v>967</v>
      </c>
      <c r="F6">
        <v>18</v>
      </c>
      <c r="G6">
        <v>967</v>
      </c>
      <c r="H6">
        <v>25</v>
      </c>
      <c r="I6">
        <v>725</v>
      </c>
      <c r="J6">
        <v>324912</v>
      </c>
      <c r="K6">
        <v>3862</v>
      </c>
      <c r="L6">
        <v>5</v>
      </c>
    </row>
    <row r="7" spans="1:13">
      <c r="A7" t="s">
        <v>153</v>
      </c>
      <c r="B7">
        <v>298</v>
      </c>
      <c r="C7">
        <v>2602</v>
      </c>
      <c r="D7">
        <v>1180</v>
      </c>
      <c r="E7">
        <v>967</v>
      </c>
      <c r="F7">
        <v>18</v>
      </c>
      <c r="G7">
        <v>967</v>
      </c>
      <c r="H7">
        <v>24</v>
      </c>
      <c r="I7">
        <v>735</v>
      </c>
      <c r="J7">
        <v>288166</v>
      </c>
      <c r="K7">
        <v>3822</v>
      </c>
      <c r="L7">
        <v>5</v>
      </c>
    </row>
    <row r="8" spans="1:13">
      <c r="A8" t="s">
        <v>154</v>
      </c>
      <c r="B8">
        <v>257</v>
      </c>
      <c r="C8">
        <v>2772</v>
      </c>
      <c r="D8">
        <v>1180</v>
      </c>
      <c r="E8">
        <v>967</v>
      </c>
      <c r="F8">
        <v>18</v>
      </c>
      <c r="G8">
        <v>967</v>
      </c>
      <c r="H8">
        <v>23</v>
      </c>
      <c r="I8">
        <v>745</v>
      </c>
      <c r="J8">
        <v>248519</v>
      </c>
      <c r="K8">
        <v>3785</v>
      </c>
      <c r="L8">
        <v>5</v>
      </c>
    </row>
    <row r="9" spans="1:13">
      <c r="A9" t="s">
        <v>155</v>
      </c>
      <c r="B9">
        <v>197</v>
      </c>
      <c r="C9">
        <v>2463</v>
      </c>
      <c r="D9">
        <v>1180</v>
      </c>
      <c r="E9">
        <v>967</v>
      </c>
      <c r="F9">
        <v>18</v>
      </c>
      <c r="G9">
        <v>967</v>
      </c>
      <c r="H9">
        <v>23</v>
      </c>
      <c r="I9">
        <v>745</v>
      </c>
      <c r="J9">
        <v>190499</v>
      </c>
      <c r="K9">
        <v>3749</v>
      </c>
      <c r="L9">
        <v>5</v>
      </c>
    </row>
    <row r="10" spans="1:13">
      <c r="A10" s="83" t="s">
        <v>178</v>
      </c>
      <c r="B10" s="82">
        <f>AVERAGE(B3:B9)</f>
        <v>263</v>
      </c>
      <c r="J10" t="s">
        <v>158</v>
      </c>
    </row>
    <row r="11" spans="1:13">
      <c r="A11" s="83" t="s">
        <v>179</v>
      </c>
      <c r="B11" s="80">
        <f>B10/7</f>
        <v>37.571428571428569</v>
      </c>
      <c r="J11" t="s">
        <v>159</v>
      </c>
    </row>
    <row r="12" spans="1:13">
      <c r="A12" s="83" t="s">
        <v>180</v>
      </c>
      <c r="B12" s="80">
        <f>B11*30</f>
        <v>1127.1428571428571</v>
      </c>
    </row>
    <row r="13" spans="1:13">
      <c r="J13" t="s">
        <v>159</v>
      </c>
    </row>
    <row r="14" spans="1:13">
      <c r="J14" t="s">
        <v>158</v>
      </c>
    </row>
    <row r="15" spans="1:13">
      <c r="J15" t="s">
        <v>157</v>
      </c>
    </row>
  </sheetData>
  <mergeCells count="2">
    <mergeCell ref="B2:J2"/>
    <mergeCell ref="L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B00C-1FE7-4751-BA88-796163C27979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98AB-D814-4FE9-9D74-4B67CF46EF5C}">
  <dimension ref="A1:M15"/>
  <sheetViews>
    <sheetView workbookViewId="0">
      <selection activeCell="B12" sqref="B12"/>
    </sheetView>
  </sheetViews>
  <sheetFormatPr defaultColWidth="11.5546875" defaultRowHeight="13.2"/>
  <cols>
    <col min="1" max="1" width="19.88671875" bestFit="1" customWidth="1"/>
    <col min="2" max="2" width="15.33203125" bestFit="1" customWidth="1"/>
    <col min="3" max="3" width="11.88671875" bestFit="1" customWidth="1"/>
    <col min="4" max="4" width="12.77734375" bestFit="1" customWidth="1"/>
    <col min="5" max="5" width="5.44140625" bestFit="1" customWidth="1"/>
    <col min="6" max="6" width="7" bestFit="1" customWidth="1"/>
    <col min="7" max="7" width="15.33203125" bestFit="1" customWidth="1"/>
    <col min="8" max="8" width="4.77734375" bestFit="1" customWidth="1"/>
    <col min="9" max="9" width="11.88671875" bestFit="1" customWidth="1"/>
    <col min="10" max="10" width="13.77734375" bestFit="1" customWidth="1"/>
    <col min="11" max="11" width="9" bestFit="1" customWidth="1"/>
    <col min="12" max="12" width="7.77734375" bestFit="1" customWidth="1"/>
  </cols>
  <sheetData>
    <row r="1" spans="1:13">
      <c r="A1" t="s">
        <v>162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144</v>
      </c>
      <c r="C3">
        <v>1160</v>
      </c>
      <c r="D3">
        <v>3999</v>
      </c>
      <c r="E3">
        <v>1479</v>
      </c>
      <c r="F3">
        <v>63</v>
      </c>
      <c r="G3">
        <v>1479</v>
      </c>
      <c r="H3">
        <v>28</v>
      </c>
      <c r="I3">
        <v>1065</v>
      </c>
      <c r="J3">
        <v>212976</v>
      </c>
      <c r="K3">
        <v>19409</v>
      </c>
      <c r="L3">
        <v>5</v>
      </c>
    </row>
    <row r="4" spans="1:13">
      <c r="A4" t="s">
        <v>150</v>
      </c>
      <c r="B4">
        <v>170</v>
      </c>
      <c r="C4">
        <v>1136</v>
      </c>
      <c r="D4">
        <v>3999</v>
      </c>
      <c r="E4">
        <v>1479</v>
      </c>
      <c r="F4">
        <v>63</v>
      </c>
      <c r="G4">
        <v>1479</v>
      </c>
      <c r="H4">
        <v>27</v>
      </c>
      <c r="I4">
        <v>1080</v>
      </c>
      <c r="J4">
        <v>251430</v>
      </c>
      <c r="K4">
        <v>19355</v>
      </c>
      <c r="L4">
        <v>5</v>
      </c>
    </row>
    <row r="5" spans="1:13">
      <c r="A5" t="s">
        <v>151</v>
      </c>
      <c r="B5">
        <v>142</v>
      </c>
      <c r="C5">
        <v>1315</v>
      </c>
      <c r="D5">
        <v>3999</v>
      </c>
      <c r="E5">
        <v>1479</v>
      </c>
      <c r="F5">
        <v>63</v>
      </c>
      <c r="G5">
        <v>1479</v>
      </c>
      <c r="H5">
        <v>27</v>
      </c>
      <c r="I5">
        <v>1080</v>
      </c>
      <c r="J5">
        <v>210018</v>
      </c>
      <c r="K5">
        <v>19291</v>
      </c>
      <c r="L5">
        <v>5</v>
      </c>
    </row>
    <row r="6" spans="1:13">
      <c r="A6" t="s">
        <v>152</v>
      </c>
      <c r="B6">
        <v>148</v>
      </c>
      <c r="C6">
        <v>1307</v>
      </c>
      <c r="D6">
        <v>3999</v>
      </c>
      <c r="E6">
        <v>1479</v>
      </c>
      <c r="F6">
        <v>63</v>
      </c>
      <c r="G6">
        <v>1479</v>
      </c>
      <c r="H6">
        <v>27</v>
      </c>
      <c r="I6">
        <v>1080</v>
      </c>
      <c r="J6">
        <v>218892</v>
      </c>
      <c r="K6">
        <v>19243</v>
      </c>
      <c r="L6">
        <v>5</v>
      </c>
    </row>
    <row r="7" spans="1:13">
      <c r="A7" t="s">
        <v>153</v>
      </c>
      <c r="B7">
        <v>155</v>
      </c>
      <c r="C7">
        <v>1462</v>
      </c>
      <c r="D7">
        <v>3999</v>
      </c>
      <c r="E7">
        <v>1479</v>
      </c>
      <c r="F7">
        <v>63</v>
      </c>
      <c r="G7">
        <v>1479</v>
      </c>
      <c r="H7">
        <v>26</v>
      </c>
      <c r="I7">
        <v>1094</v>
      </c>
      <c r="J7">
        <v>229245</v>
      </c>
      <c r="K7">
        <v>19196</v>
      </c>
      <c r="L7">
        <v>5</v>
      </c>
    </row>
    <row r="8" spans="1:13">
      <c r="A8" t="s">
        <v>154</v>
      </c>
      <c r="B8">
        <v>114</v>
      </c>
      <c r="C8">
        <v>1543</v>
      </c>
      <c r="D8">
        <v>3999</v>
      </c>
      <c r="E8">
        <v>1479</v>
      </c>
      <c r="F8">
        <v>63</v>
      </c>
      <c r="G8">
        <v>1479</v>
      </c>
      <c r="H8">
        <v>25</v>
      </c>
      <c r="I8">
        <v>1109</v>
      </c>
      <c r="J8">
        <v>168606</v>
      </c>
      <c r="K8">
        <v>19146</v>
      </c>
      <c r="L8">
        <v>5</v>
      </c>
    </row>
    <row r="9" spans="1:13">
      <c r="A9" t="s">
        <v>155</v>
      </c>
      <c r="B9">
        <v>98</v>
      </c>
      <c r="C9">
        <v>1653</v>
      </c>
      <c r="D9">
        <v>3999</v>
      </c>
      <c r="E9">
        <v>1479</v>
      </c>
      <c r="F9">
        <v>63</v>
      </c>
      <c r="G9">
        <v>1479</v>
      </c>
      <c r="H9">
        <v>25</v>
      </c>
      <c r="I9">
        <v>1109</v>
      </c>
      <c r="J9">
        <v>144942</v>
      </c>
      <c r="K9">
        <v>19105</v>
      </c>
      <c r="L9">
        <v>5</v>
      </c>
    </row>
    <row r="10" spans="1:13">
      <c r="A10" s="83" t="s">
        <v>181</v>
      </c>
      <c r="B10" s="80">
        <f>AVERAGE(B3:B9)</f>
        <v>138.71428571428572</v>
      </c>
      <c r="J10" t="s">
        <v>160</v>
      </c>
    </row>
    <row r="11" spans="1:13">
      <c r="A11" s="83" t="s">
        <v>179</v>
      </c>
      <c r="B11" s="80">
        <f>B10/7</f>
        <v>19.816326530612248</v>
      </c>
      <c r="J11" t="s">
        <v>161</v>
      </c>
    </row>
    <row r="12" spans="1:13">
      <c r="A12" s="83" t="s">
        <v>180</v>
      </c>
      <c r="B12" s="80">
        <f>B11*30</f>
        <v>594.48979591836746</v>
      </c>
    </row>
    <row r="13" spans="1:13">
      <c r="J13" t="s">
        <v>161</v>
      </c>
    </row>
    <row r="14" spans="1:13">
      <c r="J14" t="s">
        <v>160</v>
      </c>
    </row>
    <row r="15" spans="1:13">
      <c r="J15" t="s">
        <v>157</v>
      </c>
    </row>
  </sheetData>
  <mergeCells count="2">
    <mergeCell ref="B2:J2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B4E4-AE15-41D6-A5DD-039D7A698002}">
  <dimension ref="A1:M15"/>
  <sheetViews>
    <sheetView workbookViewId="0">
      <selection activeCell="A12" sqref="A12"/>
    </sheetView>
  </sheetViews>
  <sheetFormatPr defaultRowHeight="13.2"/>
  <cols>
    <col min="1" max="1" width="19.88671875" bestFit="1" customWidth="1"/>
  </cols>
  <sheetData>
    <row r="1" spans="1:1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101</v>
      </c>
      <c r="C3">
        <v>883</v>
      </c>
      <c r="D3">
        <v>2434</v>
      </c>
      <c r="E3">
        <v>2360</v>
      </c>
      <c r="F3">
        <v>3</v>
      </c>
      <c r="G3">
        <v>2360</v>
      </c>
      <c r="H3">
        <v>27</v>
      </c>
      <c r="I3">
        <v>1723</v>
      </c>
      <c r="J3">
        <v>238360</v>
      </c>
      <c r="K3">
        <v>1007</v>
      </c>
      <c r="L3">
        <v>5</v>
      </c>
    </row>
    <row r="4" spans="1:13">
      <c r="A4" t="s">
        <v>150</v>
      </c>
      <c r="B4">
        <v>145</v>
      </c>
      <c r="C4">
        <v>976</v>
      </c>
      <c r="D4">
        <v>2400</v>
      </c>
      <c r="E4">
        <v>2328</v>
      </c>
      <c r="F4">
        <v>3</v>
      </c>
      <c r="G4">
        <v>2328</v>
      </c>
      <c r="H4">
        <v>27</v>
      </c>
      <c r="I4">
        <v>1699</v>
      </c>
      <c r="J4">
        <v>337560</v>
      </c>
      <c r="K4">
        <v>1004</v>
      </c>
      <c r="L4">
        <v>5</v>
      </c>
    </row>
    <row r="5" spans="1:13">
      <c r="A5" t="s">
        <v>151</v>
      </c>
      <c r="B5">
        <v>126</v>
      </c>
      <c r="C5">
        <v>1119</v>
      </c>
      <c r="D5">
        <v>2400</v>
      </c>
      <c r="E5">
        <v>2328</v>
      </c>
      <c r="F5">
        <v>3</v>
      </c>
      <c r="G5">
        <v>2328</v>
      </c>
      <c r="H5">
        <v>27</v>
      </c>
      <c r="I5">
        <v>1699</v>
      </c>
      <c r="J5">
        <v>293328</v>
      </c>
      <c r="K5">
        <v>1000</v>
      </c>
      <c r="L5">
        <v>5</v>
      </c>
    </row>
    <row r="6" spans="1:13">
      <c r="A6" t="s">
        <v>152</v>
      </c>
      <c r="B6">
        <v>166</v>
      </c>
      <c r="C6">
        <v>1238</v>
      </c>
      <c r="D6">
        <v>2485</v>
      </c>
      <c r="E6">
        <v>2410</v>
      </c>
      <c r="F6">
        <v>3</v>
      </c>
      <c r="G6">
        <v>2410</v>
      </c>
      <c r="H6">
        <v>27</v>
      </c>
      <c r="I6">
        <v>1759</v>
      </c>
      <c r="J6">
        <v>400060</v>
      </c>
      <c r="K6">
        <v>991</v>
      </c>
      <c r="L6">
        <v>5</v>
      </c>
    </row>
    <row r="7" spans="1:13">
      <c r="A7" t="s">
        <v>153</v>
      </c>
      <c r="B7">
        <v>87</v>
      </c>
      <c r="C7">
        <v>1401</v>
      </c>
      <c r="D7">
        <v>2391</v>
      </c>
      <c r="E7">
        <v>2319</v>
      </c>
      <c r="F7">
        <v>3</v>
      </c>
      <c r="G7">
        <v>2319</v>
      </c>
      <c r="H7">
        <v>25</v>
      </c>
      <c r="I7">
        <v>1739</v>
      </c>
      <c r="J7">
        <v>201753</v>
      </c>
      <c r="K7">
        <v>980</v>
      </c>
      <c r="L7">
        <v>5</v>
      </c>
    </row>
    <row r="8" spans="1:13">
      <c r="A8" t="s">
        <v>154</v>
      </c>
      <c r="B8">
        <v>80</v>
      </c>
      <c r="C8">
        <v>1476</v>
      </c>
      <c r="D8">
        <v>2391</v>
      </c>
      <c r="E8">
        <v>2319</v>
      </c>
      <c r="F8">
        <v>3</v>
      </c>
      <c r="G8">
        <v>2319</v>
      </c>
      <c r="H8">
        <v>25</v>
      </c>
      <c r="I8">
        <v>1739</v>
      </c>
      <c r="J8">
        <v>185520</v>
      </c>
      <c r="K8">
        <v>969</v>
      </c>
      <c r="L8">
        <v>5</v>
      </c>
    </row>
    <row r="9" spans="1:13">
      <c r="A9" t="s">
        <v>155</v>
      </c>
      <c r="B9">
        <v>84</v>
      </c>
      <c r="C9">
        <v>1562</v>
      </c>
      <c r="D9">
        <v>2391</v>
      </c>
      <c r="E9">
        <v>2319</v>
      </c>
      <c r="F9">
        <v>3</v>
      </c>
      <c r="G9">
        <v>2319</v>
      </c>
      <c r="H9">
        <v>25</v>
      </c>
      <c r="I9">
        <v>1739</v>
      </c>
      <c r="J9">
        <v>194796</v>
      </c>
      <c r="K9">
        <v>964</v>
      </c>
      <c r="L9">
        <v>5</v>
      </c>
    </row>
    <row r="10" spans="1:13">
      <c r="A10" s="83" t="s">
        <v>181</v>
      </c>
      <c r="B10">
        <f>AVERAGE(B3:B9)</f>
        <v>112.71428571428571</v>
      </c>
      <c r="J10" t="s">
        <v>163</v>
      </c>
    </row>
    <row r="11" spans="1:13">
      <c r="A11" s="83" t="s">
        <v>182</v>
      </c>
      <c r="B11">
        <f>B10/7</f>
        <v>16.102040816326529</v>
      </c>
      <c r="J11" t="s">
        <v>164</v>
      </c>
    </row>
    <row r="12" spans="1:13">
      <c r="A12" s="83" t="s">
        <v>183</v>
      </c>
      <c r="B12">
        <f>B11*30</f>
        <v>483.06122448979585</v>
      </c>
    </row>
    <row r="13" spans="1:13">
      <c r="J13" t="s">
        <v>164</v>
      </c>
    </row>
    <row r="14" spans="1:13">
      <c r="J14" t="s">
        <v>163</v>
      </c>
    </row>
    <row r="15" spans="1:13">
      <c r="J15" t="s">
        <v>157</v>
      </c>
    </row>
  </sheetData>
  <mergeCells count="2">
    <mergeCell ref="B2:J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3856-A039-4C8D-A08A-032EF4F68EFE}">
  <dimension ref="A1:M15"/>
  <sheetViews>
    <sheetView workbookViewId="0">
      <selection activeCell="A13" sqref="A13"/>
    </sheetView>
  </sheetViews>
  <sheetFormatPr defaultRowHeight="13.2"/>
  <cols>
    <col min="1" max="1" width="19.88671875" bestFit="1" customWidth="1"/>
  </cols>
  <sheetData>
    <row r="1" spans="1:1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169</v>
      </c>
      <c r="C3">
        <v>2506</v>
      </c>
      <c r="D3">
        <v>7720</v>
      </c>
      <c r="E3">
        <v>772</v>
      </c>
      <c r="F3">
        <v>90</v>
      </c>
      <c r="G3">
        <v>772</v>
      </c>
      <c r="H3">
        <v>26</v>
      </c>
      <c r="I3">
        <v>571</v>
      </c>
      <c r="J3">
        <v>130468</v>
      </c>
      <c r="K3">
        <v>941</v>
      </c>
      <c r="L3">
        <v>4</v>
      </c>
    </row>
    <row r="4" spans="1:13">
      <c r="A4" t="s">
        <v>150</v>
      </c>
      <c r="B4">
        <v>279</v>
      </c>
      <c r="C4">
        <v>2669</v>
      </c>
      <c r="D4">
        <v>7720</v>
      </c>
      <c r="E4">
        <v>772</v>
      </c>
      <c r="F4">
        <v>90</v>
      </c>
      <c r="G4">
        <v>772</v>
      </c>
      <c r="H4">
        <v>25</v>
      </c>
      <c r="I4">
        <v>579</v>
      </c>
      <c r="J4">
        <v>215388</v>
      </c>
      <c r="K4">
        <v>935</v>
      </c>
      <c r="L4">
        <v>4</v>
      </c>
    </row>
    <row r="5" spans="1:13">
      <c r="A5" t="s">
        <v>151</v>
      </c>
      <c r="B5">
        <v>230</v>
      </c>
      <c r="C5">
        <v>2963</v>
      </c>
      <c r="D5">
        <v>7720</v>
      </c>
      <c r="E5">
        <v>772</v>
      </c>
      <c r="F5">
        <v>90</v>
      </c>
      <c r="G5">
        <v>772</v>
      </c>
      <c r="H5">
        <v>25</v>
      </c>
      <c r="I5">
        <v>579</v>
      </c>
      <c r="J5">
        <v>177560</v>
      </c>
      <c r="K5">
        <v>921</v>
      </c>
      <c r="L5">
        <v>4</v>
      </c>
    </row>
    <row r="6" spans="1:13">
      <c r="A6" t="s">
        <v>152</v>
      </c>
      <c r="B6">
        <v>301</v>
      </c>
      <c r="C6">
        <v>3199</v>
      </c>
      <c r="D6">
        <v>7630</v>
      </c>
      <c r="E6">
        <v>763</v>
      </c>
      <c r="F6">
        <v>90</v>
      </c>
      <c r="G6">
        <v>763</v>
      </c>
      <c r="H6">
        <v>25</v>
      </c>
      <c r="I6">
        <v>572</v>
      </c>
      <c r="J6">
        <v>229663</v>
      </c>
      <c r="K6">
        <v>910</v>
      </c>
      <c r="L6">
        <v>4</v>
      </c>
    </row>
    <row r="7" spans="1:13">
      <c r="A7" t="s">
        <v>153</v>
      </c>
      <c r="B7">
        <v>266</v>
      </c>
      <c r="C7">
        <v>3516</v>
      </c>
      <c r="D7">
        <v>7630</v>
      </c>
      <c r="E7">
        <v>763</v>
      </c>
      <c r="F7">
        <v>90</v>
      </c>
      <c r="G7">
        <v>763</v>
      </c>
      <c r="H7">
        <v>24</v>
      </c>
      <c r="I7">
        <v>579</v>
      </c>
      <c r="J7">
        <v>202958</v>
      </c>
      <c r="K7">
        <v>902</v>
      </c>
      <c r="L7">
        <v>4</v>
      </c>
    </row>
    <row r="8" spans="1:13">
      <c r="A8" t="s">
        <v>154</v>
      </c>
      <c r="B8">
        <v>302</v>
      </c>
      <c r="C8">
        <v>2001</v>
      </c>
      <c r="D8">
        <v>7660</v>
      </c>
      <c r="E8">
        <v>766</v>
      </c>
      <c r="F8">
        <v>90</v>
      </c>
      <c r="G8">
        <v>766</v>
      </c>
      <c r="H8">
        <v>23</v>
      </c>
      <c r="I8">
        <v>589</v>
      </c>
      <c r="J8">
        <v>231332</v>
      </c>
      <c r="K8">
        <v>889</v>
      </c>
      <c r="L8">
        <v>4</v>
      </c>
    </row>
    <row r="9" spans="1:13">
      <c r="A9" t="s">
        <v>155</v>
      </c>
      <c r="B9">
        <v>417</v>
      </c>
      <c r="C9">
        <v>1784</v>
      </c>
      <c r="D9">
        <v>7660</v>
      </c>
      <c r="E9">
        <v>766</v>
      </c>
      <c r="F9">
        <v>90</v>
      </c>
      <c r="G9">
        <v>766</v>
      </c>
      <c r="H9">
        <v>23</v>
      </c>
      <c r="I9">
        <v>589</v>
      </c>
      <c r="J9">
        <v>319422</v>
      </c>
      <c r="K9">
        <v>880</v>
      </c>
      <c r="L9">
        <v>4</v>
      </c>
    </row>
    <row r="10" spans="1:13">
      <c r="A10" s="83" t="s">
        <v>184</v>
      </c>
      <c r="B10">
        <f>AVERAGE(B3:B9)</f>
        <v>280.57142857142856</v>
      </c>
      <c r="J10" t="s">
        <v>165</v>
      </c>
    </row>
    <row r="11" spans="1:13">
      <c r="A11" s="83" t="s">
        <v>185</v>
      </c>
      <c r="B11">
        <f>B10/7</f>
        <v>40.08163265306122</v>
      </c>
      <c r="J11" t="s">
        <v>166</v>
      </c>
    </row>
    <row r="12" spans="1:13">
      <c r="A12" s="83" t="s">
        <v>186</v>
      </c>
      <c r="B12">
        <f>B11*30</f>
        <v>1202.4489795918366</v>
      </c>
    </row>
    <row r="13" spans="1:13">
      <c r="J13" t="s">
        <v>166</v>
      </c>
    </row>
    <row r="14" spans="1:13">
      <c r="J14" t="s">
        <v>165</v>
      </c>
    </row>
    <row r="15" spans="1:13">
      <c r="J15" t="s">
        <v>157</v>
      </c>
    </row>
  </sheetData>
  <mergeCells count="2">
    <mergeCell ref="B2:J2"/>
    <mergeCell ref="L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E4A4-CE34-4F99-96A1-4B582479BC9D}">
  <dimension ref="A1:M15"/>
  <sheetViews>
    <sheetView workbookViewId="0">
      <selection activeCell="A13" sqref="A13"/>
    </sheetView>
  </sheetViews>
  <sheetFormatPr defaultRowHeight="13.2"/>
  <cols>
    <col min="1" max="1" width="14.88671875" bestFit="1" customWidth="1"/>
  </cols>
  <sheetData>
    <row r="1" spans="1:1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331</v>
      </c>
      <c r="C3">
        <v>1255</v>
      </c>
      <c r="D3">
        <v>2625</v>
      </c>
      <c r="E3">
        <v>918</v>
      </c>
      <c r="F3">
        <v>65</v>
      </c>
      <c r="G3">
        <v>918</v>
      </c>
      <c r="H3">
        <v>26</v>
      </c>
      <c r="I3">
        <v>679</v>
      </c>
      <c r="J3">
        <v>303858</v>
      </c>
      <c r="K3">
        <v>5864</v>
      </c>
      <c r="L3">
        <v>5</v>
      </c>
    </row>
    <row r="4" spans="1:13">
      <c r="A4" t="s">
        <v>150</v>
      </c>
      <c r="B4">
        <v>315</v>
      </c>
      <c r="C4">
        <v>1270</v>
      </c>
      <c r="D4">
        <v>2625</v>
      </c>
      <c r="E4">
        <v>918</v>
      </c>
      <c r="F4">
        <v>65</v>
      </c>
      <c r="G4">
        <v>918</v>
      </c>
      <c r="H4">
        <v>25</v>
      </c>
      <c r="I4">
        <v>689</v>
      </c>
      <c r="J4">
        <v>289170</v>
      </c>
      <c r="K4">
        <v>5824</v>
      </c>
      <c r="L4">
        <v>5</v>
      </c>
    </row>
    <row r="5" spans="1:13">
      <c r="A5" t="s">
        <v>151</v>
      </c>
      <c r="B5">
        <v>483</v>
      </c>
      <c r="C5">
        <v>938</v>
      </c>
      <c r="D5">
        <v>2625</v>
      </c>
      <c r="E5">
        <v>918</v>
      </c>
      <c r="F5">
        <v>65</v>
      </c>
      <c r="G5">
        <v>918</v>
      </c>
      <c r="H5">
        <v>25</v>
      </c>
      <c r="I5">
        <v>689</v>
      </c>
      <c r="J5">
        <v>443394</v>
      </c>
      <c r="K5">
        <v>5770</v>
      </c>
      <c r="L5">
        <v>5</v>
      </c>
    </row>
    <row r="6" spans="1:13">
      <c r="A6" t="s">
        <v>152</v>
      </c>
      <c r="B6">
        <v>376</v>
      </c>
      <c r="C6">
        <v>1446</v>
      </c>
      <c r="D6">
        <v>2625</v>
      </c>
      <c r="E6">
        <v>918</v>
      </c>
      <c r="F6">
        <v>65</v>
      </c>
      <c r="G6">
        <v>918</v>
      </c>
      <c r="H6">
        <v>25</v>
      </c>
      <c r="I6">
        <v>689</v>
      </c>
      <c r="J6">
        <v>345168</v>
      </c>
      <c r="K6">
        <v>5714</v>
      </c>
      <c r="L6">
        <v>5</v>
      </c>
    </row>
    <row r="7" spans="1:13">
      <c r="A7" t="s">
        <v>153</v>
      </c>
      <c r="B7">
        <v>429</v>
      </c>
      <c r="C7">
        <v>1849</v>
      </c>
      <c r="D7">
        <v>2625</v>
      </c>
      <c r="E7">
        <v>918</v>
      </c>
      <c r="F7">
        <v>65</v>
      </c>
      <c r="G7">
        <v>918</v>
      </c>
      <c r="H7">
        <v>24</v>
      </c>
      <c r="I7">
        <v>698</v>
      </c>
      <c r="J7">
        <v>393822</v>
      </c>
      <c r="K7">
        <v>5663</v>
      </c>
      <c r="L7">
        <v>5</v>
      </c>
    </row>
    <row r="8" spans="1:13">
      <c r="A8" t="s">
        <v>154</v>
      </c>
      <c r="B8">
        <v>382</v>
      </c>
      <c r="C8">
        <v>2285</v>
      </c>
      <c r="D8">
        <v>2630</v>
      </c>
      <c r="E8">
        <v>973</v>
      </c>
      <c r="F8">
        <v>63</v>
      </c>
      <c r="G8">
        <v>973</v>
      </c>
      <c r="H8">
        <v>23</v>
      </c>
      <c r="I8">
        <v>749</v>
      </c>
      <c r="J8">
        <v>371686</v>
      </c>
      <c r="K8">
        <v>5619</v>
      </c>
      <c r="L8">
        <v>5</v>
      </c>
    </row>
    <row r="9" spans="1:13">
      <c r="A9" t="s">
        <v>155</v>
      </c>
      <c r="B9">
        <v>290</v>
      </c>
      <c r="C9">
        <v>1224</v>
      </c>
      <c r="D9">
        <v>2630</v>
      </c>
      <c r="E9">
        <v>894</v>
      </c>
      <c r="F9">
        <v>66</v>
      </c>
      <c r="G9">
        <v>894</v>
      </c>
      <c r="H9">
        <v>23</v>
      </c>
      <c r="I9">
        <v>688</v>
      </c>
      <c r="J9">
        <v>259260</v>
      </c>
      <c r="K9">
        <v>5583</v>
      </c>
      <c r="L9">
        <v>5</v>
      </c>
    </row>
    <row r="10" spans="1:13">
      <c r="A10" s="83" t="s">
        <v>187</v>
      </c>
      <c r="B10">
        <f>AVERAGE(B3:B9)</f>
        <v>372.28571428571428</v>
      </c>
      <c r="J10" t="s">
        <v>167</v>
      </c>
    </row>
    <row r="11" spans="1:13">
      <c r="A11" s="83" t="s">
        <v>188</v>
      </c>
      <c r="B11">
        <f>B10/7</f>
        <v>53.183673469387756</v>
      </c>
      <c r="J11" t="s">
        <v>168</v>
      </c>
    </row>
    <row r="12" spans="1:13">
      <c r="A12" s="83" t="s">
        <v>189</v>
      </c>
      <c r="B12">
        <f>B11*30</f>
        <v>1595.5102040816328</v>
      </c>
    </row>
    <row r="13" spans="1:13">
      <c r="J13" t="s">
        <v>168</v>
      </c>
    </row>
    <row r="14" spans="1:13">
      <c r="J14" t="s">
        <v>167</v>
      </c>
    </row>
    <row r="15" spans="1:13">
      <c r="J15" t="s">
        <v>157</v>
      </c>
    </row>
  </sheetData>
  <mergeCells count="2">
    <mergeCell ref="B2:J2"/>
    <mergeCell ref="L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CBDF-9E89-48C4-BCCB-F27CE6D19732}">
  <dimension ref="A1:M15"/>
  <sheetViews>
    <sheetView workbookViewId="0">
      <selection activeCell="A13" sqref="A13"/>
    </sheetView>
  </sheetViews>
  <sheetFormatPr defaultRowHeight="13.2"/>
  <cols>
    <col min="1" max="1" width="10.33203125" bestFit="1" customWidth="1"/>
  </cols>
  <sheetData>
    <row r="1" spans="1:13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</row>
    <row r="2" spans="1:13">
      <c r="A2" t="s">
        <v>147</v>
      </c>
      <c r="B2" s="74" t="s">
        <v>148</v>
      </c>
      <c r="C2" s="74"/>
      <c r="D2" s="74"/>
      <c r="E2" s="74"/>
      <c r="F2" s="74"/>
      <c r="G2" s="74"/>
      <c r="H2" s="74"/>
      <c r="I2" s="74"/>
      <c r="J2" s="74"/>
      <c r="L2" s="74" t="s">
        <v>148</v>
      </c>
      <c r="M2" s="74"/>
    </row>
    <row r="3" spans="1:13">
      <c r="A3" t="s">
        <v>149</v>
      </c>
      <c r="B3">
        <v>852</v>
      </c>
      <c r="C3">
        <v>6706</v>
      </c>
      <c r="D3">
        <v>3469</v>
      </c>
      <c r="E3">
        <v>1214</v>
      </c>
      <c r="F3">
        <v>65</v>
      </c>
      <c r="G3">
        <v>1214</v>
      </c>
      <c r="H3">
        <v>21</v>
      </c>
      <c r="I3">
        <v>959</v>
      </c>
      <c r="J3">
        <v>1034328</v>
      </c>
      <c r="K3">
        <v>11538</v>
      </c>
      <c r="L3">
        <v>5</v>
      </c>
    </row>
    <row r="4" spans="1:13">
      <c r="A4" t="s">
        <v>150</v>
      </c>
      <c r="B4">
        <v>1120</v>
      </c>
      <c r="C4">
        <v>7615</v>
      </c>
      <c r="D4">
        <v>3469</v>
      </c>
      <c r="E4">
        <v>1110</v>
      </c>
      <c r="F4">
        <v>68</v>
      </c>
      <c r="G4">
        <v>1110</v>
      </c>
      <c r="H4">
        <v>20</v>
      </c>
      <c r="I4">
        <v>888</v>
      </c>
      <c r="J4">
        <v>1243200</v>
      </c>
      <c r="K4">
        <v>11435</v>
      </c>
      <c r="L4">
        <v>5</v>
      </c>
    </row>
    <row r="5" spans="1:13">
      <c r="A5" t="s">
        <v>151</v>
      </c>
      <c r="B5">
        <v>1090</v>
      </c>
      <c r="C5">
        <v>8823</v>
      </c>
      <c r="D5">
        <v>3469</v>
      </c>
      <c r="E5">
        <v>1110</v>
      </c>
      <c r="F5">
        <v>68</v>
      </c>
      <c r="G5">
        <v>1110</v>
      </c>
      <c r="H5">
        <v>20</v>
      </c>
      <c r="I5">
        <v>888</v>
      </c>
      <c r="J5">
        <v>1209900</v>
      </c>
      <c r="K5">
        <v>11319</v>
      </c>
      <c r="L5">
        <v>5</v>
      </c>
    </row>
    <row r="6" spans="1:13">
      <c r="A6" t="s">
        <v>152</v>
      </c>
      <c r="B6">
        <v>980</v>
      </c>
      <c r="C6">
        <v>9970</v>
      </c>
      <c r="D6">
        <v>3469</v>
      </c>
      <c r="E6">
        <v>1110</v>
      </c>
      <c r="F6">
        <v>68</v>
      </c>
      <c r="G6">
        <v>1110</v>
      </c>
      <c r="H6">
        <v>19</v>
      </c>
      <c r="I6">
        <v>899</v>
      </c>
      <c r="J6">
        <v>1087800</v>
      </c>
      <c r="K6">
        <v>11163</v>
      </c>
      <c r="L6">
        <v>5</v>
      </c>
    </row>
    <row r="7" spans="1:13">
      <c r="A7" t="s">
        <v>153</v>
      </c>
      <c r="B7">
        <v>926</v>
      </c>
      <c r="C7">
        <v>11009</v>
      </c>
      <c r="D7">
        <v>3469</v>
      </c>
      <c r="E7">
        <v>1110</v>
      </c>
      <c r="F7">
        <v>68</v>
      </c>
      <c r="G7">
        <v>1110</v>
      </c>
      <c r="H7">
        <v>20</v>
      </c>
      <c r="I7">
        <v>888</v>
      </c>
      <c r="J7">
        <v>1027860</v>
      </c>
      <c r="K7">
        <v>11071</v>
      </c>
      <c r="L7">
        <v>5</v>
      </c>
    </row>
    <row r="8" spans="1:13">
      <c r="A8" t="s">
        <v>154</v>
      </c>
      <c r="B8">
        <v>1590</v>
      </c>
      <c r="C8">
        <v>11960</v>
      </c>
      <c r="D8">
        <v>3469</v>
      </c>
      <c r="E8">
        <v>1110</v>
      </c>
      <c r="F8">
        <v>68</v>
      </c>
      <c r="G8">
        <v>1110</v>
      </c>
      <c r="H8">
        <v>19</v>
      </c>
      <c r="I8">
        <v>899</v>
      </c>
      <c r="J8">
        <v>1764900</v>
      </c>
      <c r="K8">
        <v>10997</v>
      </c>
      <c r="L8">
        <v>5</v>
      </c>
    </row>
    <row r="9" spans="1:13">
      <c r="A9" t="s">
        <v>155</v>
      </c>
      <c r="B9">
        <v>776</v>
      </c>
      <c r="C9">
        <v>13639</v>
      </c>
      <c r="D9">
        <v>3469</v>
      </c>
      <c r="E9">
        <v>1110</v>
      </c>
      <c r="F9">
        <v>68</v>
      </c>
      <c r="G9">
        <v>1110</v>
      </c>
      <c r="H9">
        <v>19</v>
      </c>
      <c r="I9">
        <v>899</v>
      </c>
      <c r="J9">
        <v>861360</v>
      </c>
      <c r="K9">
        <v>10919</v>
      </c>
      <c r="L9">
        <v>5</v>
      </c>
    </row>
    <row r="10" spans="1:13">
      <c r="A10" s="83" t="s">
        <v>190</v>
      </c>
      <c r="B10">
        <f>AVERAGE(B3:B9)</f>
        <v>1047.7142857142858</v>
      </c>
      <c r="J10" t="s">
        <v>169</v>
      </c>
    </row>
    <row r="11" spans="1:13">
      <c r="A11" s="83" t="s">
        <v>191</v>
      </c>
      <c r="B11">
        <f>B10/7</f>
        <v>149.67346938775512</v>
      </c>
      <c r="J11" t="s">
        <v>170</v>
      </c>
    </row>
    <row r="12" spans="1:13">
      <c r="A12" s="83" t="s">
        <v>192</v>
      </c>
      <c r="B12">
        <f>B11*30</f>
        <v>4490.2040816326535</v>
      </c>
    </row>
    <row r="13" spans="1:13">
      <c r="J13" t="s">
        <v>170</v>
      </c>
    </row>
    <row r="14" spans="1:13">
      <c r="J14" t="s">
        <v>171</v>
      </c>
    </row>
    <row r="15" spans="1:13">
      <c r="J15" t="s">
        <v>172</v>
      </c>
    </row>
  </sheetData>
  <mergeCells count="2">
    <mergeCell ref="B2:J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Финмодель WildBerries</vt:lpstr>
      <vt:lpstr>Т1</vt:lpstr>
      <vt:lpstr>Т4</vt:lpstr>
      <vt:lpstr>Т5</vt:lpstr>
      <vt:lpstr>Т6</vt:lpstr>
      <vt:lpstr>Т7</vt:lpstr>
      <vt:lpstr>Т8</vt:lpstr>
      <vt:lpstr>Т9</vt:lpstr>
      <vt:lpstr>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gabit</dc:creator>
  <cp:lastModifiedBy> </cp:lastModifiedBy>
  <dcterms:modified xsi:type="dcterms:W3CDTF">2023-06-24T16:06:59Z</dcterms:modified>
</cp:coreProperties>
</file>