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el/Downloads/"/>
    </mc:Choice>
  </mc:AlternateContent>
  <xr:revisionPtr revIDLastSave="0" documentId="13_ncr:1_{03DBD075-0FB3-2F45-8C67-8FCDBF92FFF0}" xr6:coauthVersionLast="47" xr6:coauthVersionMax="47" xr10:uidLastSave="{00000000-0000-0000-0000-000000000000}"/>
  <bookViews>
    <workbookView xWindow="0" yWindow="500" windowWidth="28800" windowHeight="16100" tabRatio="865" activeTab="7" xr2:uid="{00000000-000D-0000-FFFF-FFFF00000000}"/>
  </bookViews>
  <sheets>
    <sheet name="Содержание" sheetId="17" r:id="rId1"/>
    <sheet name="1.График (гориз)" sheetId="5" state="hidden" r:id="rId2"/>
    <sheet name="инвестиции" sheetId="18" r:id="rId3"/>
    <sheet name="2.Персонал" sheetId="12" r:id="rId4"/>
    <sheet name="3.Выручка" sheetId="6" r:id="rId5"/>
    <sheet name="4.Себестоимость" sheetId="16" r:id="rId6"/>
    <sheet name="5.Затраты" sheetId="14" r:id="rId7"/>
    <sheet name="6.ОПУ" sheetId="7" r:id="rId8"/>
    <sheet name="7.CF" sheetId="9" r:id="rId9"/>
    <sheet name="8.Эффективность" sheetId="11" r:id="rId10"/>
    <sheet name="9.Точка безубыточности" sheetId="15" r:id="rId11"/>
    <sheet name="график" sheetId="19" r:id="rId12"/>
  </sheets>
  <externalReferences>
    <externalReference r:id="rId13"/>
  </externalReferences>
  <definedNames>
    <definedName name="_xlnm.Print_Titles" localSheetId="7">'6.ОПУ'!$A:$A</definedName>
    <definedName name="_xlnm.Print_Titles" localSheetId="8">'7.CF'!$A:$A</definedName>
    <definedName name="_xlnm.Print_Area" localSheetId="3">'2.Персонал'!$A$1:$O$56</definedName>
    <definedName name="_xlnm.Print_Area" localSheetId="8">'7.CF'!$A$1:$W$37</definedName>
    <definedName name="_xlnm.Print_Area" localSheetId="10">'9.Точка безубыточности'!$A$1:$N$37</definedName>
    <definedName name="budj_disk_last">#REF!</definedName>
    <definedName name="budj_last">#REF!</definedName>
    <definedName name="id_budj_last">#REF!</definedName>
    <definedName name="id_last">#REF!</definedName>
    <definedName name="ncf_last">#REF!</definedName>
    <definedName name="nvp_last">#REF!</definedName>
    <definedName name="sp">'[1]Data-in'!$B$1381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7" l="1"/>
  <c r="X10" i="7" s="1"/>
  <c r="F11" i="7"/>
  <c r="G11" i="7"/>
  <c r="H11" i="7"/>
  <c r="I11" i="7"/>
  <c r="B11" i="7"/>
  <c r="C11" i="7"/>
  <c r="D11" i="7"/>
  <c r="E11" i="7"/>
  <c r="J11" i="7"/>
  <c r="K11" i="7"/>
  <c r="L11" i="7"/>
  <c r="M11" i="7"/>
  <c r="O10" i="7"/>
  <c r="P10" i="7"/>
  <c r="B15" i="7"/>
  <c r="C15" i="7"/>
  <c r="D15" i="7"/>
  <c r="E15" i="7"/>
  <c r="F15" i="7"/>
  <c r="G15" i="7"/>
  <c r="H15" i="7"/>
  <c r="I15" i="7"/>
  <c r="J15" i="7"/>
  <c r="K15" i="7"/>
  <c r="L15" i="7"/>
  <c r="M15" i="7"/>
  <c r="O15" i="7"/>
  <c r="P15" i="7"/>
  <c r="D18" i="7"/>
  <c r="E18" i="7" s="1"/>
  <c r="F18" i="7" s="1"/>
  <c r="G18" i="7" s="1"/>
  <c r="H18" i="7" s="1"/>
  <c r="I18" i="7" s="1"/>
  <c r="J18" i="7" s="1"/>
  <c r="K18" i="7" s="1"/>
  <c r="L18" i="7" s="1"/>
  <c r="M18" i="7" s="1"/>
  <c r="O18" i="7"/>
  <c r="P18" i="7"/>
  <c r="B12" i="7"/>
  <c r="C12" i="7" s="1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O12" i="7"/>
  <c r="P12" i="7" s="1"/>
  <c r="N9" i="7"/>
  <c r="B8" i="14"/>
  <c r="C17" i="18"/>
  <c r="X34" i="7"/>
  <c r="N12" i="6"/>
  <c r="B7" i="6"/>
  <c r="N11" i="7" l="1"/>
  <c r="N15" i="7"/>
  <c r="N18" i="7"/>
  <c r="N12" i="7"/>
  <c r="C19" i="12"/>
  <c r="E17" i="12"/>
  <c r="B28" i="9"/>
  <c r="B27" i="9"/>
  <c r="C11" i="11"/>
  <c r="D11" i="11"/>
  <c r="E67" i="11" s="1"/>
  <c r="E11" i="11"/>
  <c r="F11" i="11"/>
  <c r="D19" i="11" s="1"/>
  <c r="G11" i="11"/>
  <c r="H11" i="11"/>
  <c r="D21" i="11" s="1"/>
  <c r="I11" i="11"/>
  <c r="J11" i="11"/>
  <c r="D23" i="11" s="1"/>
  <c r="K11" i="11"/>
  <c r="D24" i="11" s="1"/>
  <c r="L11" i="11"/>
  <c r="D16" i="11"/>
  <c r="I19" i="11"/>
  <c r="D20" i="11"/>
  <c r="I20" i="11"/>
  <c r="D22" i="11"/>
  <c r="D25" i="11"/>
  <c r="B33" i="11"/>
  <c r="D40" i="11" s="1"/>
  <c r="C33" i="11"/>
  <c r="D41" i="11" s="1"/>
  <c r="D33" i="11"/>
  <c r="D42" i="11" s="1"/>
  <c r="E33" i="11"/>
  <c r="D43" i="11" s="1"/>
  <c r="J33" i="11"/>
  <c r="K33" i="11"/>
  <c r="I41" i="11" s="1"/>
  <c r="L33" i="11"/>
  <c r="M33" i="11"/>
  <c r="A35" i="11"/>
  <c r="B35" i="11"/>
  <c r="D45" i="11" s="1"/>
  <c r="C35" i="11"/>
  <c r="D35" i="11"/>
  <c r="E35" i="11"/>
  <c r="D48" i="11" s="1"/>
  <c r="F35" i="11"/>
  <c r="D49" i="11" s="1"/>
  <c r="H35" i="11"/>
  <c r="I44" i="11" s="1"/>
  <c r="I35" i="11"/>
  <c r="I45" i="11" s="1"/>
  <c r="J35" i="11"/>
  <c r="I46" i="11" s="1"/>
  <c r="K35" i="11"/>
  <c r="L35" i="11"/>
  <c r="M35" i="11"/>
  <c r="I49" i="11" s="1"/>
  <c r="I40" i="11"/>
  <c r="I42" i="11"/>
  <c r="I43" i="11"/>
  <c r="D44" i="11"/>
  <c r="D46" i="11"/>
  <c r="D47" i="11"/>
  <c r="I47" i="11"/>
  <c r="I48" i="11"/>
  <c r="C55" i="11"/>
  <c r="D67" i="11"/>
  <c r="G67" i="11"/>
  <c r="H67" i="11"/>
  <c r="I67" i="11"/>
  <c r="J67" i="11"/>
  <c r="N11" i="9"/>
  <c r="B14" i="9"/>
  <c r="N14" i="9" s="1"/>
  <c r="C29" i="9"/>
  <c r="D29" i="9"/>
  <c r="E29" i="9"/>
  <c r="F29" i="9"/>
  <c r="G29" i="9"/>
  <c r="H29" i="9"/>
  <c r="I29" i="9"/>
  <c r="J29" i="9"/>
  <c r="K29" i="9"/>
  <c r="L29" i="9"/>
  <c r="M29" i="9"/>
  <c r="O29" i="9"/>
  <c r="P29" i="9"/>
  <c r="Q29" i="9"/>
  <c r="R29" i="9"/>
  <c r="S29" i="9"/>
  <c r="T29" i="9"/>
  <c r="U29" i="9"/>
  <c r="V29" i="9"/>
  <c r="W29" i="9"/>
  <c r="D31" i="9"/>
  <c r="E31" i="9"/>
  <c r="F31" i="9"/>
  <c r="G31" i="9"/>
  <c r="H31" i="9"/>
  <c r="I31" i="9"/>
  <c r="J31" i="9"/>
  <c r="K31" i="9"/>
  <c r="L31" i="9"/>
  <c r="M31" i="9"/>
  <c r="O31" i="9"/>
  <c r="P31" i="9"/>
  <c r="Q31" i="9"/>
  <c r="R31" i="9"/>
  <c r="S31" i="9"/>
  <c r="T31" i="9"/>
  <c r="U31" i="9"/>
  <c r="V31" i="9"/>
  <c r="W31" i="9"/>
  <c r="B33" i="9"/>
  <c r="N33" i="9" s="1"/>
  <c r="N31" i="9" s="1"/>
  <c r="B12" i="9"/>
  <c r="O12" i="9"/>
  <c r="B20" i="7"/>
  <c r="N20" i="7" s="1"/>
  <c r="B21" i="7"/>
  <c r="C21" i="7" s="1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B22" i="7"/>
  <c r="B17" i="9" s="1"/>
  <c r="C22" i="7"/>
  <c r="C17" i="9" s="1"/>
  <c r="D22" i="7"/>
  <c r="D17" i="9" s="1"/>
  <c r="E22" i="7"/>
  <c r="E17" i="9" s="1"/>
  <c r="F22" i="7"/>
  <c r="F17" i="9" s="1"/>
  <c r="G22" i="7"/>
  <c r="G17" i="9" s="1"/>
  <c r="H22" i="7"/>
  <c r="H17" i="9" s="1"/>
  <c r="I22" i="7"/>
  <c r="I17" i="9" s="1"/>
  <c r="J22" i="7"/>
  <c r="J17" i="9" s="1"/>
  <c r="K22" i="7"/>
  <c r="K17" i="9" s="1"/>
  <c r="L22" i="7"/>
  <c r="L17" i="9" s="1"/>
  <c r="M22" i="7"/>
  <c r="M17" i="9" s="1"/>
  <c r="B23" i="7"/>
  <c r="B18" i="9" s="1"/>
  <c r="E24" i="7"/>
  <c r="E19" i="9" s="1"/>
  <c r="G24" i="7"/>
  <c r="G19" i="9" s="1"/>
  <c r="I24" i="7"/>
  <c r="I19" i="9" s="1"/>
  <c r="K24" i="7"/>
  <c r="K19" i="9" s="1"/>
  <c r="L24" i="7"/>
  <c r="L19" i="9" s="1"/>
  <c r="B25" i="7"/>
  <c r="B20" i="9" s="1"/>
  <c r="C25" i="7"/>
  <c r="C20" i="9" s="1"/>
  <c r="D25" i="7"/>
  <c r="D20" i="9" s="1"/>
  <c r="E25" i="7"/>
  <c r="E20" i="9" s="1"/>
  <c r="F25" i="7"/>
  <c r="F20" i="9" s="1"/>
  <c r="G25" i="7"/>
  <c r="G20" i="9" s="1"/>
  <c r="H25" i="7"/>
  <c r="H20" i="9" s="1"/>
  <c r="I25" i="7"/>
  <c r="I20" i="9" s="1"/>
  <c r="J25" i="7"/>
  <c r="J20" i="9" s="1"/>
  <c r="K25" i="7"/>
  <c r="K20" i="9" s="1"/>
  <c r="L25" i="7"/>
  <c r="L20" i="9" s="1"/>
  <c r="M25" i="7"/>
  <c r="M20" i="9" s="1"/>
  <c r="B32" i="7"/>
  <c r="B35" i="9" s="1"/>
  <c r="B34" i="9" s="1"/>
  <c r="B36" i="9" s="1"/>
  <c r="C32" i="7"/>
  <c r="C35" i="9" s="1"/>
  <c r="C34" i="9" s="1"/>
  <c r="D32" i="7"/>
  <c r="D35" i="9" s="1"/>
  <c r="D34" i="9" s="1"/>
  <c r="D36" i="9" s="1"/>
  <c r="E32" i="7"/>
  <c r="E35" i="9" s="1"/>
  <c r="E34" i="9" s="1"/>
  <c r="E36" i="9" s="1"/>
  <c r="F32" i="7"/>
  <c r="F35" i="9" s="1"/>
  <c r="F34" i="9" s="1"/>
  <c r="F36" i="9" s="1"/>
  <c r="G32" i="7"/>
  <c r="G35" i="9" s="1"/>
  <c r="G34" i="9" s="1"/>
  <c r="C10" i="14"/>
  <c r="D10" i="14" s="1"/>
  <c r="E10" i="14" s="1"/>
  <c r="C11" i="14"/>
  <c r="D11" i="14" s="1"/>
  <c r="E11" i="14" s="1"/>
  <c r="P21" i="7" s="1"/>
  <c r="C12" i="14"/>
  <c r="D12" i="14"/>
  <c r="C13" i="14"/>
  <c r="D13" i="14" s="1"/>
  <c r="C14" i="14"/>
  <c r="D14" i="14" s="1"/>
  <c r="E14" i="14" s="1"/>
  <c r="C15" i="14"/>
  <c r="B24" i="7" s="1"/>
  <c r="D15" i="14"/>
  <c r="C16" i="14"/>
  <c r="D16" i="14" s="1"/>
  <c r="Q20" i="9"/>
  <c r="H13" i="6"/>
  <c r="E7" i="6"/>
  <c r="F7" i="6"/>
  <c r="B10" i="6"/>
  <c r="H10" i="6"/>
  <c r="I10" i="6"/>
  <c r="J10" i="6"/>
  <c r="K10" i="6"/>
  <c r="C10" i="6"/>
  <c r="D10" i="6"/>
  <c r="E10" i="6"/>
  <c r="F10" i="6"/>
  <c r="G10" i="6"/>
  <c r="L10" i="6"/>
  <c r="M10" i="6"/>
  <c r="N11" i="6"/>
  <c r="N10" i="6" s="1"/>
  <c r="F13" i="6"/>
  <c r="B13" i="6"/>
  <c r="D13" i="6"/>
  <c r="E13" i="6"/>
  <c r="G13" i="6"/>
  <c r="L13" i="6"/>
  <c r="M13" i="6"/>
  <c r="B16" i="6"/>
  <c r="C16" i="6"/>
  <c r="D16" i="6"/>
  <c r="E16" i="6"/>
  <c r="F16" i="6"/>
  <c r="G16" i="6"/>
  <c r="H16" i="6"/>
  <c r="I16" i="6"/>
  <c r="J16" i="6"/>
  <c r="K16" i="6"/>
  <c r="L16" i="6"/>
  <c r="M16" i="6"/>
  <c r="B23" i="6"/>
  <c r="C25" i="6"/>
  <c r="F25" i="6" s="1"/>
  <c r="G25" i="6" s="1"/>
  <c r="H25" i="6" s="1"/>
  <c r="H23" i="6" s="1"/>
  <c r="G26" i="6"/>
  <c r="H26" i="6"/>
  <c r="I26" i="6"/>
  <c r="K26" i="6"/>
  <c r="B26" i="6"/>
  <c r="C26" i="6"/>
  <c r="D26" i="6"/>
  <c r="F26" i="6"/>
  <c r="J26" i="6"/>
  <c r="L26" i="6"/>
  <c r="M26" i="6"/>
  <c r="B30" i="6"/>
  <c r="B29" i="6" s="1"/>
  <c r="C30" i="6"/>
  <c r="C29" i="6" s="1"/>
  <c r="D30" i="6"/>
  <c r="D29" i="6" s="1"/>
  <c r="E30" i="6"/>
  <c r="E29" i="6" s="1"/>
  <c r="F30" i="6"/>
  <c r="F29" i="6" s="1"/>
  <c r="G30" i="6"/>
  <c r="G29" i="6" s="1"/>
  <c r="H30" i="6"/>
  <c r="H29" i="6" s="1"/>
  <c r="I30" i="6"/>
  <c r="I29" i="6" s="1"/>
  <c r="J30" i="6"/>
  <c r="J29" i="6" s="1"/>
  <c r="K30" i="6"/>
  <c r="K29" i="6" s="1"/>
  <c r="L30" i="6"/>
  <c r="L29" i="6" s="1"/>
  <c r="M30" i="6"/>
  <c r="M29" i="6" s="1"/>
  <c r="B32" i="6"/>
  <c r="C32" i="6"/>
  <c r="D32" i="6"/>
  <c r="E32" i="6"/>
  <c r="F32" i="6"/>
  <c r="G32" i="6"/>
  <c r="H32" i="6"/>
  <c r="I32" i="6"/>
  <c r="J32" i="6"/>
  <c r="K32" i="6"/>
  <c r="L32" i="6"/>
  <c r="M32" i="6"/>
  <c r="E10" i="12"/>
  <c r="E11" i="12"/>
  <c r="E12" i="12"/>
  <c r="E13" i="12"/>
  <c r="E14" i="12"/>
  <c r="E15" i="12"/>
  <c r="E16" i="12"/>
  <c r="E18" i="12"/>
  <c r="E22" i="12"/>
  <c r="E23" i="12"/>
  <c r="C24" i="12"/>
  <c r="C25" i="12" s="1"/>
  <c r="C5" i="12" s="1"/>
  <c r="F7" i="5"/>
  <c r="F8" i="5"/>
  <c r="F9" i="5" s="1"/>
  <c r="C14" i="5"/>
  <c r="D14" i="5" s="1"/>
  <c r="E14" i="5"/>
  <c r="F14" i="5" s="1"/>
  <c r="G14" i="5" s="1"/>
  <c r="H14" i="5" s="1"/>
  <c r="I14" i="5" s="1"/>
  <c r="J14" i="5" s="1"/>
  <c r="I15" i="5"/>
  <c r="H32" i="7" s="1"/>
  <c r="H35" i="9" s="1"/>
  <c r="H34" i="9" s="1"/>
  <c r="C16" i="5"/>
  <c r="C17" i="5"/>
  <c r="A4" i="17"/>
  <c r="A5" i="17"/>
  <c r="A6" i="17"/>
  <c r="A7" i="17"/>
  <c r="A8" i="17"/>
  <c r="A9" i="17"/>
  <c r="A10" i="17"/>
  <c r="A11" i="17"/>
  <c r="A12" i="17"/>
  <c r="A13" i="17"/>
  <c r="C31" i="9"/>
  <c r="X15" i="7" l="1"/>
  <c r="O25" i="7"/>
  <c r="O20" i="9" s="1"/>
  <c r="E16" i="14"/>
  <c r="P25" i="7" s="1"/>
  <c r="P20" i="9" s="1"/>
  <c r="D17" i="11"/>
  <c r="H24" i="7"/>
  <c r="H19" i="9" s="1"/>
  <c r="G36" i="9"/>
  <c r="D24" i="7"/>
  <c r="D19" i="9" s="1"/>
  <c r="M24" i="7"/>
  <c r="M19" i="9" s="1"/>
  <c r="C24" i="7"/>
  <c r="C19" i="9" s="1"/>
  <c r="J15" i="5"/>
  <c r="I25" i="6"/>
  <c r="J25" i="6" s="1"/>
  <c r="J23" i="6" s="1"/>
  <c r="C23" i="7"/>
  <c r="N25" i="7"/>
  <c r="N20" i="9"/>
  <c r="N32" i="6"/>
  <c r="B17" i="16"/>
  <c r="D25" i="6"/>
  <c r="N16" i="6"/>
  <c r="E10" i="16"/>
  <c r="E15" i="9" s="1"/>
  <c r="D7" i="6"/>
  <c r="D19" i="6" s="1"/>
  <c r="E19" i="6"/>
  <c r="E8" i="7" s="1"/>
  <c r="E16" i="7" s="1"/>
  <c r="O23" i="7"/>
  <c r="O18" i="9" s="1"/>
  <c r="E13" i="14"/>
  <c r="P23" i="7" s="1"/>
  <c r="P18" i="9" s="1"/>
  <c r="E19" i="12"/>
  <c r="B26" i="9"/>
  <c r="B29" i="9" s="1"/>
  <c r="N29" i="9" s="1"/>
  <c r="C36" i="9"/>
  <c r="C15" i="11"/>
  <c r="B35" i="6"/>
  <c r="N21" i="7"/>
  <c r="O22" i="7"/>
  <c r="O17" i="9" s="1"/>
  <c r="E12" i="14"/>
  <c r="M7" i="6"/>
  <c r="G7" i="6"/>
  <c r="I32" i="7"/>
  <c r="I35" i="9" s="1"/>
  <c r="I34" i="9" s="1"/>
  <c r="I36" i="9" s="1"/>
  <c r="K15" i="5"/>
  <c r="K14" i="5"/>
  <c r="H17" i="16"/>
  <c r="H35" i="6"/>
  <c r="H39" i="6" s="1"/>
  <c r="N8" i="16"/>
  <c r="K13" i="6"/>
  <c r="C7" i="6"/>
  <c r="C13" i="6"/>
  <c r="B28" i="7"/>
  <c r="D16" i="5"/>
  <c r="E24" i="12"/>
  <c r="B10" i="16"/>
  <c r="N17" i="9"/>
  <c r="B19" i="6"/>
  <c r="N24" i="6"/>
  <c r="N30" i="6" s="1"/>
  <c r="N29" i="6" s="1"/>
  <c r="C23" i="6"/>
  <c r="E26" i="6"/>
  <c r="N27" i="6"/>
  <c r="N26" i="6" s="1"/>
  <c r="K25" i="6"/>
  <c r="L25" i="6" s="1"/>
  <c r="D10" i="16"/>
  <c r="D15" i="9" s="1"/>
  <c r="F19" i="6"/>
  <c r="F67" i="11"/>
  <c r="D18" i="11"/>
  <c r="N22" i="7"/>
  <c r="I23" i="6"/>
  <c r="J13" i="6"/>
  <c r="F10" i="16"/>
  <c r="F15" i="9" s="1"/>
  <c r="R20" i="9"/>
  <c r="O21" i="7"/>
  <c r="I13" i="6"/>
  <c r="G23" i="6"/>
  <c r="O24" i="7"/>
  <c r="O19" i="9" s="1"/>
  <c r="E15" i="14"/>
  <c r="H36" i="9"/>
  <c r="F23" i="6"/>
  <c r="N8" i="6"/>
  <c r="B19" i="9"/>
  <c r="N28" i="9"/>
  <c r="J24" i="7"/>
  <c r="J19" i="9" s="1"/>
  <c r="F24" i="7"/>
  <c r="F19" i="9" s="1"/>
  <c r="C18" i="9" l="1"/>
  <c r="D23" i="7"/>
  <c r="E25" i="12"/>
  <c r="C6" i="12" s="1"/>
  <c r="C8" i="14" s="1"/>
  <c r="L14" i="5"/>
  <c r="P12" i="9"/>
  <c r="C12" i="9"/>
  <c r="N14" i="6"/>
  <c r="N13" i="6" s="1"/>
  <c r="E25" i="6"/>
  <c r="E23" i="6" s="1"/>
  <c r="E17" i="16" s="1"/>
  <c r="D23" i="6"/>
  <c r="H7" i="6"/>
  <c r="E38" i="6"/>
  <c r="L7" i="6"/>
  <c r="L19" i="6" s="1"/>
  <c r="K7" i="6"/>
  <c r="K19" i="6" s="1"/>
  <c r="J7" i="6"/>
  <c r="J19" i="6" s="1"/>
  <c r="I7" i="6"/>
  <c r="I19" i="6" s="1"/>
  <c r="P24" i="7"/>
  <c r="P19" i="9" s="1"/>
  <c r="Q18" i="9"/>
  <c r="N19" i="9"/>
  <c r="C19" i="6"/>
  <c r="I17" i="16"/>
  <c r="I35" i="6"/>
  <c r="I39" i="6" s="1"/>
  <c r="P22" i="7"/>
  <c r="P17" i="9" s="1"/>
  <c r="B21" i="9"/>
  <c r="S20" i="9"/>
  <c r="N24" i="7"/>
  <c r="M25" i="6"/>
  <c r="M23" i="6" s="1"/>
  <c r="L23" i="6"/>
  <c r="K23" i="6"/>
  <c r="K10" i="16"/>
  <c r="K15" i="9" s="1"/>
  <c r="B39" i="6"/>
  <c r="E10" i="9"/>
  <c r="G17" i="16"/>
  <c r="G35" i="6"/>
  <c r="G39" i="6" s="1"/>
  <c r="C35" i="6"/>
  <c r="C39" i="6" s="1"/>
  <c r="J17" i="16"/>
  <c r="J35" i="6"/>
  <c r="J39" i="6" s="1"/>
  <c r="B8" i="7"/>
  <c r="B16" i="7" s="1"/>
  <c r="B38" i="6"/>
  <c r="G10" i="16"/>
  <c r="G15" i="9" s="1"/>
  <c r="G19" i="6"/>
  <c r="S12" i="9"/>
  <c r="D8" i="7"/>
  <c r="D16" i="7" s="1"/>
  <c r="D38" i="6"/>
  <c r="C28" i="7"/>
  <c r="C21" i="9" s="1"/>
  <c r="D17" i="5"/>
  <c r="E16" i="5"/>
  <c r="J10" i="16"/>
  <c r="J15" i="9" s="1"/>
  <c r="J32" i="7"/>
  <c r="L15" i="5"/>
  <c r="E35" i="6"/>
  <c r="E39" i="6" s="1"/>
  <c r="H10" i="16"/>
  <c r="H15" i="9" s="1"/>
  <c r="H19" i="6"/>
  <c r="F35" i="6"/>
  <c r="F39" i="6" s="1"/>
  <c r="F17" i="16"/>
  <c r="F8" i="7"/>
  <c r="F16" i="7" s="1"/>
  <c r="F38" i="6"/>
  <c r="N9" i="16"/>
  <c r="M10" i="16"/>
  <c r="M15" i="9" s="1"/>
  <c r="M19" i="6"/>
  <c r="C62" i="11"/>
  <c r="C65" i="11" s="1"/>
  <c r="C39" i="11"/>
  <c r="E39" i="11" s="1"/>
  <c r="H39" i="11"/>
  <c r="J39" i="11" s="1"/>
  <c r="E15" i="11"/>
  <c r="X20" i="7" l="1"/>
  <c r="E23" i="7"/>
  <c r="D18" i="9"/>
  <c r="R12" i="9"/>
  <c r="Q12" i="9"/>
  <c r="E13" i="7"/>
  <c r="D12" i="9"/>
  <c r="N23" i="6"/>
  <c r="D17" i="16"/>
  <c r="D35" i="6"/>
  <c r="D39" i="6" s="1"/>
  <c r="L10" i="16"/>
  <c r="L15" i="9" s="1"/>
  <c r="N7" i="6"/>
  <c r="I10" i="16"/>
  <c r="I15" i="9" s="1"/>
  <c r="E22" i="9"/>
  <c r="K32" i="7"/>
  <c r="K35" i="9" s="1"/>
  <c r="K34" i="9" s="1"/>
  <c r="K36" i="9" s="1"/>
  <c r="M15" i="5"/>
  <c r="C8" i="7"/>
  <c r="C16" i="7" s="1"/>
  <c r="C38" i="6"/>
  <c r="B13" i="7"/>
  <c r="B10" i="9"/>
  <c r="K8" i="7"/>
  <c r="K16" i="7" s="1"/>
  <c r="K38" i="6"/>
  <c r="H8" i="7"/>
  <c r="H16" i="7" s="1"/>
  <c r="H38" i="6"/>
  <c r="D10" i="9"/>
  <c r="D22" i="9"/>
  <c r="L35" i="6"/>
  <c r="L39" i="6" s="1"/>
  <c r="L17" i="16"/>
  <c r="M35" i="6"/>
  <c r="M39" i="6" s="1"/>
  <c r="M17" i="16"/>
  <c r="M14" i="5"/>
  <c r="R18" i="9"/>
  <c r="B16" i="9"/>
  <c r="B19" i="7"/>
  <c r="M8" i="7"/>
  <c r="M16" i="7" s="1"/>
  <c r="M38" i="6"/>
  <c r="N19" i="6"/>
  <c r="D8" i="14"/>
  <c r="J8" i="7"/>
  <c r="J16" i="7" s="1"/>
  <c r="J38" i="6"/>
  <c r="K17" i="16"/>
  <c r="K35" i="6"/>
  <c r="K39" i="6" s="1"/>
  <c r="L8" i="7"/>
  <c r="L16" i="7" s="1"/>
  <c r="L38" i="6"/>
  <c r="G8" i="7"/>
  <c r="G16" i="7" s="1"/>
  <c r="G38" i="6"/>
  <c r="Q19" i="9"/>
  <c r="C66" i="11"/>
  <c r="C68" i="11"/>
  <c r="C69" i="11" s="1"/>
  <c r="J35" i="9"/>
  <c r="J34" i="9" s="1"/>
  <c r="J36" i="9" s="1"/>
  <c r="C17" i="16"/>
  <c r="B15" i="9"/>
  <c r="T12" i="9"/>
  <c r="F10" i="9"/>
  <c r="F22" i="9"/>
  <c r="D28" i="7"/>
  <c r="D21" i="9" s="1"/>
  <c r="F16" i="5"/>
  <c r="E17" i="5"/>
  <c r="I38" i="6"/>
  <c r="I8" i="7"/>
  <c r="I16" i="7" s="1"/>
  <c r="C10" i="16"/>
  <c r="N7" i="16"/>
  <c r="N16" i="7" l="1"/>
  <c r="E18" i="9"/>
  <c r="F23" i="7"/>
  <c r="D9" i="9"/>
  <c r="E12" i="9"/>
  <c r="E9" i="9" s="1"/>
  <c r="N39" i="6"/>
  <c r="F13" i="7"/>
  <c r="N38" i="6"/>
  <c r="N8" i="7"/>
  <c r="T20" i="9"/>
  <c r="R19" i="9"/>
  <c r="I22" i="9"/>
  <c r="I10" i="9"/>
  <c r="N17" i="16"/>
  <c r="B23" i="9"/>
  <c r="E28" i="7"/>
  <c r="E21" i="9" s="1"/>
  <c r="G16" i="5"/>
  <c r="F17" i="5"/>
  <c r="D13" i="7"/>
  <c r="R17" i="9"/>
  <c r="H10" i="9"/>
  <c r="H22" i="9"/>
  <c r="L32" i="7"/>
  <c r="N15" i="5"/>
  <c r="E8" i="14"/>
  <c r="K10" i="9"/>
  <c r="K22" i="9"/>
  <c r="M10" i="9"/>
  <c r="M22" i="9"/>
  <c r="N14" i="5"/>
  <c r="B20" i="5" s="1"/>
  <c r="Q17" i="9"/>
  <c r="C19" i="7"/>
  <c r="C23" i="9" s="1"/>
  <c r="C16" i="9"/>
  <c r="B9" i="9"/>
  <c r="U12" i="9"/>
  <c r="L10" i="9"/>
  <c r="L22" i="9"/>
  <c r="S18" i="9"/>
  <c r="N35" i="6"/>
  <c r="O8" i="7" s="1"/>
  <c r="O16" i="7" s="1"/>
  <c r="N10" i="16"/>
  <c r="G22" i="9"/>
  <c r="G10" i="9"/>
  <c r="U20" i="9"/>
  <c r="J10" i="9"/>
  <c r="J22" i="9"/>
  <c r="B26" i="7"/>
  <c r="B27" i="7" s="1"/>
  <c r="B29" i="7" s="1"/>
  <c r="B31" i="7" s="1"/>
  <c r="B33" i="7" s="1"/>
  <c r="C22" i="9"/>
  <c r="C10" i="9"/>
  <c r="C9" i="9" s="1"/>
  <c r="F18" i="9" l="1"/>
  <c r="G23" i="7"/>
  <c r="F12" i="9"/>
  <c r="F9" i="9" s="1"/>
  <c r="G13" i="7"/>
  <c r="C9" i="14"/>
  <c r="B17" i="14"/>
  <c r="V20" i="9"/>
  <c r="W20" i="9"/>
  <c r="N10" i="9"/>
  <c r="O16" i="9"/>
  <c r="C13" i="7"/>
  <c r="D16" i="9"/>
  <c r="D19" i="7"/>
  <c r="D23" i="9" s="1"/>
  <c r="S17" i="9"/>
  <c r="O15" i="9"/>
  <c r="C15" i="9"/>
  <c r="C13" i="9" s="1"/>
  <c r="C24" i="9" s="1"/>
  <c r="O10" i="9"/>
  <c r="O9" i="9" s="1"/>
  <c r="O22" i="9"/>
  <c r="P8" i="7"/>
  <c r="P16" i="7" s="1"/>
  <c r="X14" i="7" s="1"/>
  <c r="B22" i="9"/>
  <c r="T18" i="9"/>
  <c r="C26" i="7"/>
  <c r="M32" i="7"/>
  <c r="M35" i="9" s="1"/>
  <c r="M34" i="9" s="1"/>
  <c r="M36" i="9" s="1"/>
  <c r="C22" i="5"/>
  <c r="O15" i="5"/>
  <c r="G17" i="5"/>
  <c r="H16" i="5"/>
  <c r="F28" i="7"/>
  <c r="W12" i="9"/>
  <c r="V12" i="9"/>
  <c r="C21" i="5"/>
  <c r="C23" i="5"/>
  <c r="L35" i="9"/>
  <c r="L34" i="9" s="1"/>
  <c r="L36" i="9" s="1"/>
  <c r="X16" i="7" l="1"/>
  <c r="H23" i="7"/>
  <c r="G18" i="9"/>
  <c r="G12" i="9"/>
  <c r="G9" i="9" s="1"/>
  <c r="O13" i="7"/>
  <c r="F9" i="15" s="1"/>
  <c r="D26" i="7"/>
  <c r="D27" i="7" s="1"/>
  <c r="D29" i="7" s="1"/>
  <c r="D31" i="7" s="1"/>
  <c r="D33" i="7" s="1"/>
  <c r="D23" i="5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/>
  <c r="O28" i="7" s="1"/>
  <c r="O21" i="9" s="1"/>
  <c r="C27" i="7"/>
  <c r="C29" i="7" s="1"/>
  <c r="C31" i="7" s="1"/>
  <c r="C33" i="7" s="1"/>
  <c r="I16" i="5"/>
  <c r="G28" i="7"/>
  <c r="G21" i="9" s="1"/>
  <c r="H17" i="5"/>
  <c r="F21" i="9"/>
  <c r="C24" i="5"/>
  <c r="C29" i="5"/>
  <c r="D22" i="5"/>
  <c r="P16" i="9"/>
  <c r="U18" i="9"/>
  <c r="E19" i="7"/>
  <c r="E26" i="7" s="1"/>
  <c r="E27" i="7" s="1"/>
  <c r="E29" i="7" s="1"/>
  <c r="E31" i="7" s="1"/>
  <c r="E33" i="7" s="1"/>
  <c r="E16" i="9"/>
  <c r="T19" i="9"/>
  <c r="D9" i="14"/>
  <c r="C17" i="14"/>
  <c r="P13" i="7"/>
  <c r="G9" i="15" s="1"/>
  <c r="P10" i="9"/>
  <c r="P9" i="9" s="1"/>
  <c r="D21" i="5"/>
  <c r="N22" i="9"/>
  <c r="B13" i="9"/>
  <c r="B24" i="9" s="1"/>
  <c r="T17" i="9"/>
  <c r="S19" i="9"/>
  <c r="N15" i="9"/>
  <c r="N32" i="7"/>
  <c r="F10" i="15"/>
  <c r="P15" i="9"/>
  <c r="D13" i="9"/>
  <c r="D24" i="9" s="1"/>
  <c r="I23" i="7" l="1"/>
  <c r="H18" i="9"/>
  <c r="H12" i="9"/>
  <c r="H9" i="9" s="1"/>
  <c r="H13" i="7"/>
  <c r="F12" i="15"/>
  <c r="C7" i="9"/>
  <c r="D7" i="9" s="1"/>
  <c r="B37" i="9"/>
  <c r="E23" i="9"/>
  <c r="E13" i="9" s="1"/>
  <c r="E24" i="9" s="1"/>
  <c r="U19" i="9"/>
  <c r="E22" i="5"/>
  <c r="D24" i="5"/>
  <c r="D29" i="5"/>
  <c r="C36" i="5"/>
  <c r="U17" i="9"/>
  <c r="E9" i="14"/>
  <c r="O19" i="7"/>
  <c r="D17" i="14"/>
  <c r="F19" i="7"/>
  <c r="F23" i="9" s="1"/>
  <c r="F16" i="9"/>
  <c r="G10" i="15"/>
  <c r="G12" i="15" s="1"/>
  <c r="W18" i="9"/>
  <c r="V18" i="9"/>
  <c r="H28" i="7"/>
  <c r="H21" i="9" s="1"/>
  <c r="I17" i="5"/>
  <c r="J16" i="5"/>
  <c r="E21" i="5"/>
  <c r="F21" i="5" s="1"/>
  <c r="N35" i="9"/>
  <c r="N34" i="9" s="1"/>
  <c r="N36" i="9" s="1"/>
  <c r="Q16" i="9"/>
  <c r="Q22" i="9"/>
  <c r="Q10" i="9"/>
  <c r="Q9" i="9" s="1"/>
  <c r="Q15" i="9"/>
  <c r="I18" i="9" l="1"/>
  <c r="J23" i="7"/>
  <c r="I12" i="9"/>
  <c r="I9" i="9" s="1"/>
  <c r="I13" i="7"/>
  <c r="R22" i="9"/>
  <c r="F13" i="9"/>
  <c r="F24" i="9" s="1"/>
  <c r="I28" i="7"/>
  <c r="I21" i="9" s="1"/>
  <c r="K16" i="5"/>
  <c r="J17" i="5"/>
  <c r="F26" i="7"/>
  <c r="F27" i="7" s="1"/>
  <c r="F29" i="7" s="1"/>
  <c r="F31" i="7" s="1"/>
  <c r="F33" i="7" s="1"/>
  <c r="D36" i="5"/>
  <c r="C43" i="5"/>
  <c r="O26" i="7"/>
  <c r="E24" i="5"/>
  <c r="F22" i="5"/>
  <c r="G21" i="5" s="1"/>
  <c r="R16" i="9"/>
  <c r="V19" i="9"/>
  <c r="P19" i="7"/>
  <c r="E17" i="14"/>
  <c r="E29" i="5"/>
  <c r="C37" i="9"/>
  <c r="E7" i="9"/>
  <c r="R10" i="9"/>
  <c r="R9" i="9" s="1"/>
  <c r="G19" i="7"/>
  <c r="G26" i="7" s="1"/>
  <c r="G27" i="7" s="1"/>
  <c r="G29" i="7" s="1"/>
  <c r="G31" i="7" s="1"/>
  <c r="G33" i="7" s="1"/>
  <c r="G16" i="9"/>
  <c r="R15" i="9"/>
  <c r="P22" i="9"/>
  <c r="H9" i="15"/>
  <c r="H10" i="15"/>
  <c r="V17" i="9"/>
  <c r="J18" i="9" l="1"/>
  <c r="K23" i="7"/>
  <c r="J12" i="9"/>
  <c r="J9" i="9" s="1"/>
  <c r="J13" i="7"/>
  <c r="I9" i="15"/>
  <c r="H12" i="15"/>
  <c r="P26" i="7"/>
  <c r="F11" i="15"/>
  <c r="F13" i="15" s="1"/>
  <c r="F14" i="15" s="1"/>
  <c r="F15" i="15" s="1"/>
  <c r="O27" i="7"/>
  <c r="O29" i="7" s="1"/>
  <c r="J9" i="15"/>
  <c r="S10" i="9"/>
  <c r="S9" i="9" s="1"/>
  <c r="F7" i="9"/>
  <c r="D37" i="9"/>
  <c r="I10" i="15"/>
  <c r="D43" i="5"/>
  <c r="C50" i="5"/>
  <c r="L16" i="5"/>
  <c r="J28" i="7"/>
  <c r="J21" i="9" s="1"/>
  <c r="K17" i="5"/>
  <c r="G23" i="9"/>
  <c r="G13" i="9" s="1"/>
  <c r="G24" i="9" s="1"/>
  <c r="F29" i="5"/>
  <c r="E36" i="5"/>
  <c r="G22" i="5"/>
  <c r="F24" i="5"/>
  <c r="S15" i="9"/>
  <c r="W19" i="9"/>
  <c r="W17" i="9"/>
  <c r="X22" i="7"/>
  <c r="S16" i="9"/>
  <c r="H16" i="9"/>
  <c r="H19" i="7"/>
  <c r="H23" i="9" s="1"/>
  <c r="L23" i="7" l="1"/>
  <c r="K18" i="9"/>
  <c r="K13" i="7"/>
  <c r="K12" i="9"/>
  <c r="K9" i="9" s="1"/>
  <c r="I12" i="15"/>
  <c r="I19" i="7"/>
  <c r="I23" i="9" s="1"/>
  <c r="I16" i="9"/>
  <c r="T10" i="9"/>
  <c r="T9" i="9" s="1"/>
  <c r="T22" i="9"/>
  <c r="G29" i="5"/>
  <c r="E43" i="5"/>
  <c r="H22" i="5"/>
  <c r="G24" i="5"/>
  <c r="D50" i="5"/>
  <c r="C57" i="5"/>
  <c r="T16" i="9"/>
  <c r="K28" i="7"/>
  <c r="K21" i="9" s="1"/>
  <c r="M16" i="5"/>
  <c r="L17" i="5"/>
  <c r="O30" i="7"/>
  <c r="O23" i="9" s="1"/>
  <c r="O13" i="9" s="1"/>
  <c r="O24" i="9" s="1"/>
  <c r="F36" i="5"/>
  <c r="G7" i="9"/>
  <c r="E37" i="9"/>
  <c r="G11" i="15"/>
  <c r="G13" i="15" s="1"/>
  <c r="G14" i="15" s="1"/>
  <c r="G15" i="15" s="1"/>
  <c r="P27" i="7"/>
  <c r="T15" i="9"/>
  <c r="H13" i="9"/>
  <c r="H24" i="9" s="1"/>
  <c r="H21" i="5"/>
  <c r="I21" i="5" s="1"/>
  <c r="H26" i="7"/>
  <c r="H27" i="7" s="1"/>
  <c r="H29" i="7" s="1"/>
  <c r="H31" i="7" s="1"/>
  <c r="H33" i="7" s="1"/>
  <c r="J10" i="15"/>
  <c r="J12" i="15" s="1"/>
  <c r="L18" i="9" l="1"/>
  <c r="M23" i="7"/>
  <c r="L12" i="9"/>
  <c r="L9" i="9" s="1"/>
  <c r="L13" i="7"/>
  <c r="I13" i="9"/>
  <c r="I24" i="9" s="1"/>
  <c r="U15" i="9"/>
  <c r="G36" i="5"/>
  <c r="U16" i="9"/>
  <c r="J19" i="7"/>
  <c r="J23" i="9" s="1"/>
  <c r="J16" i="9"/>
  <c r="F37" i="9"/>
  <c r="H7" i="9"/>
  <c r="J21" i="5"/>
  <c r="U10" i="9"/>
  <c r="U9" i="9" s="1"/>
  <c r="U22" i="9"/>
  <c r="D57" i="5"/>
  <c r="C64" i="5"/>
  <c r="F43" i="5"/>
  <c r="H29" i="5"/>
  <c r="S22" i="9"/>
  <c r="O31" i="7"/>
  <c r="E50" i="5"/>
  <c r="H11" i="15"/>
  <c r="H13" i="15" s="1"/>
  <c r="H14" i="15" s="1"/>
  <c r="H15" i="15" s="1"/>
  <c r="L28" i="7"/>
  <c r="L21" i="9" s="1"/>
  <c r="N16" i="5"/>
  <c r="M17" i="5"/>
  <c r="H24" i="5"/>
  <c r="I22" i="5"/>
  <c r="K10" i="15"/>
  <c r="I26" i="7"/>
  <c r="I27" i="7" s="1"/>
  <c r="I29" i="7" s="1"/>
  <c r="I31" i="7" s="1"/>
  <c r="I33" i="7" s="1"/>
  <c r="N23" i="7" l="1"/>
  <c r="M18" i="9"/>
  <c r="N18" i="9" s="1"/>
  <c r="M13" i="7"/>
  <c r="M12" i="9"/>
  <c r="M9" i="9" s="1"/>
  <c r="J26" i="7"/>
  <c r="J27" i="7" s="1"/>
  <c r="J29" i="7" s="1"/>
  <c r="J31" i="7" s="1"/>
  <c r="J33" i="7" s="1"/>
  <c r="J13" i="9"/>
  <c r="J24" i="9" s="1"/>
  <c r="D64" i="5"/>
  <c r="C71" i="5"/>
  <c r="V22" i="9"/>
  <c r="V10" i="9"/>
  <c r="V9" i="9" s="1"/>
  <c r="I7" i="9"/>
  <c r="G37" i="9"/>
  <c r="H36" i="5"/>
  <c r="I11" i="15"/>
  <c r="I13" i="15" s="1"/>
  <c r="I14" i="15" s="1"/>
  <c r="I15" i="15" s="1"/>
  <c r="L10" i="15"/>
  <c r="K16" i="9"/>
  <c r="K19" i="7"/>
  <c r="K23" i="9" s="1"/>
  <c r="E57" i="5"/>
  <c r="F50" i="5"/>
  <c r="K9" i="15"/>
  <c r="L9" i="15"/>
  <c r="V15" i="9"/>
  <c r="M28" i="7"/>
  <c r="N17" i="5"/>
  <c r="O17" i="5" s="1"/>
  <c r="O16" i="5"/>
  <c r="J22" i="5"/>
  <c r="I24" i="5"/>
  <c r="I29" i="5"/>
  <c r="V16" i="9"/>
  <c r="C17" i="11"/>
  <c r="G43" i="5"/>
  <c r="X23" i="7" l="1"/>
  <c r="X21" i="7"/>
  <c r="N12" i="9"/>
  <c r="N9" i="9" s="1"/>
  <c r="N13" i="7"/>
  <c r="X13" i="7" s="1"/>
  <c r="M9" i="15"/>
  <c r="K13" i="9"/>
  <c r="K24" i="9" s="1"/>
  <c r="K26" i="7"/>
  <c r="K27" i="7" s="1"/>
  <c r="K29" i="7" s="1"/>
  <c r="K31" i="7" s="1"/>
  <c r="K33" i="7" s="1"/>
  <c r="J29" i="5"/>
  <c r="H43" i="5"/>
  <c r="C41" i="11"/>
  <c r="E17" i="11"/>
  <c r="H41" i="11"/>
  <c r="J41" i="11" s="1"/>
  <c r="I36" i="5"/>
  <c r="L12" i="15"/>
  <c r="W16" i="9"/>
  <c r="M21" i="9"/>
  <c r="N28" i="7"/>
  <c r="G50" i="5"/>
  <c r="L16" i="9"/>
  <c r="L19" i="7"/>
  <c r="L23" i="9" s="1"/>
  <c r="W10" i="9"/>
  <c r="W9" i="9" s="1"/>
  <c r="X8" i="7"/>
  <c r="J11" i="15"/>
  <c r="J13" i="15" s="1"/>
  <c r="J14" i="15" s="1"/>
  <c r="J15" i="15" s="1"/>
  <c r="D71" i="5"/>
  <c r="C78" i="5"/>
  <c r="J24" i="5"/>
  <c r="K22" i="5"/>
  <c r="K21" i="5"/>
  <c r="L21" i="5" s="1"/>
  <c r="K12" i="15"/>
  <c r="H37" i="9"/>
  <c r="J7" i="9"/>
  <c r="W15" i="9"/>
  <c r="F57" i="5"/>
  <c r="M10" i="15"/>
  <c r="E64" i="5"/>
  <c r="M12" i="15" l="1"/>
  <c r="L26" i="7"/>
  <c r="L27" i="7" s="1"/>
  <c r="L29" i="7" s="1"/>
  <c r="L31" i="7" s="1"/>
  <c r="L33" i="7" s="1"/>
  <c r="K7" i="9"/>
  <c r="I37" i="9"/>
  <c r="N10" i="15"/>
  <c r="M16" i="9"/>
  <c r="M19" i="7"/>
  <c r="M26" i="7" s="1"/>
  <c r="M27" i="7" s="1"/>
  <c r="M29" i="7" s="1"/>
  <c r="M31" i="7" s="1"/>
  <c r="M33" i="7" s="1"/>
  <c r="E71" i="5"/>
  <c r="L13" i="9"/>
  <c r="L24" i="9" s="1"/>
  <c r="I43" i="5"/>
  <c r="G57" i="5"/>
  <c r="N21" i="9"/>
  <c r="X9" i="7"/>
  <c r="E63" i="11"/>
  <c r="E65" i="11" s="1"/>
  <c r="E68" i="11" s="1"/>
  <c r="E41" i="11"/>
  <c r="D78" i="5"/>
  <c r="K11" i="15"/>
  <c r="K13" i="15" s="1"/>
  <c r="K14" i="15" s="1"/>
  <c r="K15" i="15" s="1"/>
  <c r="F64" i="5"/>
  <c r="H50" i="5"/>
  <c r="M21" i="5"/>
  <c r="J36" i="5"/>
  <c r="K24" i="5"/>
  <c r="L22" i="5"/>
  <c r="K29" i="5"/>
  <c r="N9" i="15" l="1"/>
  <c r="N12" i="15" s="1"/>
  <c r="H57" i="5"/>
  <c r="L11" i="15"/>
  <c r="L13" i="15" s="1"/>
  <c r="L14" i="15" s="1"/>
  <c r="L15" i="15" s="1"/>
  <c r="G64" i="5"/>
  <c r="E78" i="5"/>
  <c r="F71" i="5"/>
  <c r="N16" i="9"/>
  <c r="X18" i="7"/>
  <c r="M23" i="9"/>
  <c r="M13" i="9" s="1"/>
  <c r="M24" i="9" s="1"/>
  <c r="N19" i="7"/>
  <c r="X17" i="7" s="1"/>
  <c r="K36" i="5"/>
  <c r="W22" i="9"/>
  <c r="X11" i="7"/>
  <c r="N21" i="5"/>
  <c r="J43" i="5"/>
  <c r="L29" i="5"/>
  <c r="I50" i="5"/>
  <c r="M22" i="5"/>
  <c r="L24" i="5"/>
  <c r="J37" i="9"/>
  <c r="L7" i="9"/>
  <c r="G71" i="5" l="1"/>
  <c r="J50" i="5"/>
  <c r="K43" i="5"/>
  <c r="K37" i="9"/>
  <c r="M7" i="9"/>
  <c r="L37" i="9" s="1"/>
  <c r="H64" i="5"/>
  <c r="X19" i="7"/>
  <c r="N26" i="7"/>
  <c r="X24" i="7" s="1"/>
  <c r="F78" i="5"/>
  <c r="I57" i="5"/>
  <c r="M29" i="5"/>
  <c r="M11" i="15"/>
  <c r="M13" i="15" s="1"/>
  <c r="M14" i="15" s="1"/>
  <c r="M15" i="15" s="1"/>
  <c r="M24" i="5"/>
  <c r="N22" i="5"/>
  <c r="L36" i="5"/>
  <c r="I64" i="5" l="1"/>
  <c r="N27" i="7"/>
  <c r="X25" i="7" s="1"/>
  <c r="N24" i="5"/>
  <c r="O24" i="5" s="1"/>
  <c r="O22" i="5"/>
  <c r="O32" i="7" s="1"/>
  <c r="L43" i="5"/>
  <c r="J57" i="5"/>
  <c r="K50" i="5"/>
  <c r="B27" i="5"/>
  <c r="M36" i="5"/>
  <c r="N11" i="15"/>
  <c r="N13" i="15" s="1"/>
  <c r="N14" i="15" s="1"/>
  <c r="N15" i="15" s="1"/>
  <c r="G78" i="5"/>
  <c r="N29" i="5"/>
  <c r="H71" i="5"/>
  <c r="H78" i="5" l="1"/>
  <c r="N29" i="7"/>
  <c r="K57" i="5"/>
  <c r="C28" i="5"/>
  <c r="D28" i="5" s="1"/>
  <c r="E28" i="5" s="1"/>
  <c r="F28" i="5" s="1"/>
  <c r="G28" i="5" s="1"/>
  <c r="H28" i="5" s="1"/>
  <c r="I28" i="5" s="1"/>
  <c r="J28" i="5" s="1"/>
  <c r="K28" i="5" s="1"/>
  <c r="L28" i="5" s="1"/>
  <c r="M28" i="5" s="1"/>
  <c r="N28" i="5" s="1"/>
  <c r="B34" i="5" s="1"/>
  <c r="C30" i="5"/>
  <c r="J64" i="5"/>
  <c r="O35" i="9"/>
  <c r="O34" i="9" s="1"/>
  <c r="O36" i="9" s="1"/>
  <c r="O33" i="7"/>
  <c r="L50" i="5"/>
  <c r="I71" i="5"/>
  <c r="N36" i="5"/>
  <c r="O29" i="5"/>
  <c r="P32" i="7" s="1"/>
  <c r="P35" i="9" s="1"/>
  <c r="P34" i="9" s="1"/>
  <c r="P36" i="9" s="1"/>
  <c r="M43" i="5"/>
  <c r="N43" i="5" l="1"/>
  <c r="K64" i="5"/>
  <c r="J71" i="5"/>
  <c r="O36" i="5"/>
  <c r="L57" i="5"/>
  <c r="D30" i="5"/>
  <c r="C31" i="5"/>
  <c r="N30" i="7"/>
  <c r="M50" i="5"/>
  <c r="C37" i="5"/>
  <c r="C35" i="5"/>
  <c r="D35" i="5" s="1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B41" i="5" s="1"/>
  <c r="I78" i="5"/>
  <c r="N23" i="9" l="1"/>
  <c r="N13" i="9" s="1"/>
  <c r="N24" i="9" s="1"/>
  <c r="O7" i="9" s="1"/>
  <c r="J78" i="5"/>
  <c r="C42" i="5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B48" i="5" s="1"/>
  <c r="C44" i="5"/>
  <c r="E30" i="5"/>
  <c r="D31" i="5"/>
  <c r="M57" i="5"/>
  <c r="N31" i="7"/>
  <c r="K71" i="5"/>
  <c r="D37" i="5"/>
  <c r="C38" i="5"/>
  <c r="L64" i="5"/>
  <c r="N50" i="5"/>
  <c r="Q35" i="9"/>
  <c r="Q34" i="9" s="1"/>
  <c r="Q36" i="9" s="1"/>
  <c r="O43" i="5"/>
  <c r="R35" i="9" s="1"/>
  <c r="R34" i="9" s="1"/>
  <c r="R36" i="9" s="1"/>
  <c r="C51" i="5" l="1"/>
  <c r="C49" i="5"/>
  <c r="D49" i="5" s="1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B55" i="5" s="1"/>
  <c r="O50" i="5"/>
  <c r="C16" i="11"/>
  <c r="N33" i="7"/>
  <c r="N57" i="5"/>
  <c r="D44" i="5"/>
  <c r="C45" i="5"/>
  <c r="L71" i="5"/>
  <c r="M64" i="5"/>
  <c r="E37" i="5"/>
  <c r="D38" i="5"/>
  <c r="F30" i="5"/>
  <c r="E31" i="5"/>
  <c r="K78" i="5"/>
  <c r="N37" i="9"/>
  <c r="P7" i="9"/>
  <c r="M37" i="9"/>
  <c r="M71" i="5" l="1"/>
  <c r="O37" i="9"/>
  <c r="F37" i="5"/>
  <c r="E38" i="5"/>
  <c r="E44" i="5"/>
  <c r="D45" i="5"/>
  <c r="L78" i="5"/>
  <c r="N64" i="5"/>
  <c r="H40" i="11"/>
  <c r="J40" i="11" s="1"/>
  <c r="E16" i="11"/>
  <c r="C40" i="11"/>
  <c r="G30" i="5"/>
  <c r="F31" i="5"/>
  <c r="S35" i="9"/>
  <c r="S34" i="9" s="1"/>
  <c r="S36" i="9" s="1"/>
  <c r="C58" i="5"/>
  <c r="C56" i="5"/>
  <c r="D56" i="5" s="1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B62" i="5" s="1"/>
  <c r="O57" i="5"/>
  <c r="T35" i="9" s="1"/>
  <c r="T34" i="9" s="1"/>
  <c r="T36" i="9" s="1"/>
  <c r="D51" i="5"/>
  <c r="C52" i="5"/>
  <c r="G37" i="5" l="1"/>
  <c r="F38" i="5"/>
  <c r="M78" i="5"/>
  <c r="D63" i="11"/>
  <c r="D65" i="11" s="1"/>
  <c r="E40" i="11"/>
  <c r="H30" i="5"/>
  <c r="G31" i="5"/>
  <c r="N71" i="5"/>
  <c r="D58" i="5"/>
  <c r="C59" i="5"/>
  <c r="E51" i="5"/>
  <c r="D52" i="5"/>
  <c r="O64" i="5"/>
  <c r="U35" i="9" s="1"/>
  <c r="U34" i="9" s="1"/>
  <c r="U36" i="9" s="1"/>
  <c r="C65" i="5"/>
  <c r="C63" i="5"/>
  <c r="D63" i="5" s="1"/>
  <c r="E63" i="5" s="1"/>
  <c r="F63" i="5" s="1"/>
  <c r="G63" i="5" s="1"/>
  <c r="H63" i="5" s="1"/>
  <c r="I63" i="5" s="1"/>
  <c r="J63" i="5" s="1"/>
  <c r="K63" i="5" s="1"/>
  <c r="L63" i="5" s="1"/>
  <c r="M63" i="5" s="1"/>
  <c r="N63" i="5" s="1"/>
  <c r="B69" i="5" s="1"/>
  <c r="F44" i="5"/>
  <c r="E45" i="5"/>
  <c r="D68" i="11" l="1"/>
  <c r="D69" i="11" s="1"/>
  <c r="E69" i="11" s="1"/>
  <c r="D66" i="11"/>
  <c r="E66" i="11" s="1"/>
  <c r="C72" i="5"/>
  <c r="C70" i="5"/>
  <c r="D70" i="5" s="1"/>
  <c r="E70" i="5" s="1"/>
  <c r="F70" i="5" s="1"/>
  <c r="G70" i="5" s="1"/>
  <c r="H70" i="5" s="1"/>
  <c r="I70" i="5" s="1"/>
  <c r="J70" i="5" s="1"/>
  <c r="K70" i="5" s="1"/>
  <c r="L70" i="5" s="1"/>
  <c r="M70" i="5" s="1"/>
  <c r="N70" i="5" s="1"/>
  <c r="B76" i="5" s="1"/>
  <c r="D65" i="5"/>
  <c r="C66" i="5"/>
  <c r="N78" i="5"/>
  <c r="O71" i="5"/>
  <c r="V35" i="9" s="1"/>
  <c r="V34" i="9" s="1"/>
  <c r="V36" i="9" s="1"/>
  <c r="E58" i="5"/>
  <c r="D59" i="5"/>
  <c r="F51" i="5"/>
  <c r="E52" i="5"/>
  <c r="H37" i="5"/>
  <c r="G38" i="5"/>
  <c r="G44" i="5"/>
  <c r="F45" i="5"/>
  <c r="I30" i="5"/>
  <c r="H31" i="5"/>
  <c r="F58" i="5" l="1"/>
  <c r="E59" i="5"/>
  <c r="E65" i="5"/>
  <c r="D66" i="5"/>
  <c r="I37" i="5"/>
  <c r="H38" i="5"/>
  <c r="J30" i="5"/>
  <c r="I31" i="5"/>
  <c r="G51" i="5"/>
  <c r="F52" i="5"/>
  <c r="C79" i="5"/>
  <c r="C77" i="5"/>
  <c r="D77" i="5" s="1"/>
  <c r="E77" i="5" s="1"/>
  <c r="F77" i="5" s="1"/>
  <c r="G77" i="5" s="1"/>
  <c r="H77" i="5" s="1"/>
  <c r="I77" i="5" s="1"/>
  <c r="J77" i="5" s="1"/>
  <c r="K77" i="5" s="1"/>
  <c r="L77" i="5" s="1"/>
  <c r="M77" i="5" s="1"/>
  <c r="N77" i="5" s="1"/>
  <c r="D72" i="5"/>
  <c r="C73" i="5"/>
  <c r="O78" i="5"/>
  <c r="H44" i="5"/>
  <c r="G45" i="5"/>
  <c r="F65" i="5" l="1"/>
  <c r="E66" i="5"/>
  <c r="E72" i="5"/>
  <c r="D73" i="5"/>
  <c r="K30" i="5"/>
  <c r="J31" i="5"/>
  <c r="G58" i="5"/>
  <c r="F59" i="5"/>
  <c r="I44" i="5"/>
  <c r="H45" i="5"/>
  <c r="H51" i="5"/>
  <c r="G52" i="5"/>
  <c r="D79" i="5"/>
  <c r="C80" i="5"/>
  <c r="W35" i="9"/>
  <c r="W34" i="9" s="1"/>
  <c r="W36" i="9" s="1"/>
  <c r="X32" i="7"/>
  <c r="J37" i="5"/>
  <c r="I38" i="5"/>
  <c r="I51" i="5" l="1"/>
  <c r="H52" i="5"/>
  <c r="J44" i="5"/>
  <c r="I45" i="5"/>
  <c r="L30" i="5"/>
  <c r="K31" i="5"/>
  <c r="E79" i="5"/>
  <c r="D80" i="5"/>
  <c r="H58" i="5"/>
  <c r="G59" i="5"/>
  <c r="F72" i="5"/>
  <c r="E73" i="5"/>
  <c r="G65" i="5"/>
  <c r="F66" i="5"/>
  <c r="K37" i="5"/>
  <c r="J38" i="5"/>
  <c r="J51" i="5" l="1"/>
  <c r="I52" i="5"/>
  <c r="M30" i="5"/>
  <c r="L31" i="5"/>
  <c r="I58" i="5"/>
  <c r="H59" i="5"/>
  <c r="H65" i="5"/>
  <c r="G66" i="5"/>
  <c r="K44" i="5"/>
  <c r="J45" i="5"/>
  <c r="F79" i="5"/>
  <c r="E80" i="5"/>
  <c r="L37" i="5"/>
  <c r="K38" i="5"/>
  <c r="G72" i="5"/>
  <c r="F73" i="5"/>
  <c r="M37" i="5" l="1"/>
  <c r="L38" i="5"/>
  <c r="J58" i="5"/>
  <c r="I59" i="5"/>
  <c r="I65" i="5"/>
  <c r="H66" i="5"/>
  <c r="G79" i="5"/>
  <c r="F80" i="5"/>
  <c r="N30" i="5"/>
  <c r="M31" i="5"/>
  <c r="H72" i="5"/>
  <c r="G73" i="5"/>
  <c r="L44" i="5"/>
  <c r="K45" i="5"/>
  <c r="K51" i="5"/>
  <c r="J52" i="5"/>
  <c r="H79" i="5" l="1"/>
  <c r="G80" i="5"/>
  <c r="M44" i="5"/>
  <c r="L45" i="5"/>
  <c r="I72" i="5"/>
  <c r="H73" i="5"/>
  <c r="J65" i="5"/>
  <c r="I66" i="5"/>
  <c r="L51" i="5"/>
  <c r="K52" i="5"/>
  <c r="N31" i="5"/>
  <c r="O31" i="5" s="1"/>
  <c r="O30" i="5"/>
  <c r="P28" i="7" s="1"/>
  <c r="X26" i="7" s="1"/>
  <c r="K58" i="5"/>
  <c r="J59" i="5"/>
  <c r="N37" i="5"/>
  <c r="M38" i="5"/>
  <c r="K65" i="5" l="1"/>
  <c r="J66" i="5"/>
  <c r="L58" i="5"/>
  <c r="K59" i="5"/>
  <c r="J72" i="5"/>
  <c r="I73" i="5"/>
  <c r="P21" i="9"/>
  <c r="P29" i="7"/>
  <c r="X27" i="7" s="1"/>
  <c r="N44" i="5"/>
  <c r="M45" i="5"/>
  <c r="M51" i="5"/>
  <c r="L52" i="5"/>
  <c r="N38" i="5"/>
  <c r="O38" i="5" s="1"/>
  <c r="O37" i="5"/>
  <c r="I79" i="5"/>
  <c r="H80" i="5"/>
  <c r="N51" i="5" l="1"/>
  <c r="M52" i="5"/>
  <c r="K72" i="5"/>
  <c r="J73" i="5"/>
  <c r="N45" i="5"/>
  <c r="O45" i="5" s="1"/>
  <c r="O44" i="5"/>
  <c r="M58" i="5"/>
  <c r="L59" i="5"/>
  <c r="J79" i="5"/>
  <c r="I80" i="5"/>
  <c r="Q21" i="9"/>
  <c r="P30" i="7"/>
  <c r="P31" i="7" s="1"/>
  <c r="L65" i="5"/>
  <c r="K66" i="5"/>
  <c r="R21" i="9" l="1"/>
  <c r="P23" i="9"/>
  <c r="P13" i="9" s="1"/>
  <c r="P24" i="9" s="1"/>
  <c r="Q7" i="9" s="1"/>
  <c r="C18" i="11"/>
  <c r="P33" i="7"/>
  <c r="N58" i="5"/>
  <c r="M59" i="5"/>
  <c r="Q23" i="9"/>
  <c r="Q13" i="9" s="1"/>
  <c r="Q24" i="9" s="1"/>
  <c r="L72" i="5"/>
  <c r="K73" i="5"/>
  <c r="M65" i="5"/>
  <c r="L66" i="5"/>
  <c r="K79" i="5"/>
  <c r="J80" i="5"/>
  <c r="N52" i="5"/>
  <c r="O52" i="5" s="1"/>
  <c r="O51" i="5"/>
  <c r="M72" i="5" l="1"/>
  <c r="L73" i="5"/>
  <c r="R7" i="9"/>
  <c r="P37" i="9"/>
  <c r="N65" i="5"/>
  <c r="M66" i="5"/>
  <c r="S21" i="9"/>
  <c r="E18" i="11"/>
  <c r="H42" i="11"/>
  <c r="J42" i="11" s="1"/>
  <c r="C42" i="11"/>
  <c r="L79" i="5"/>
  <c r="K80" i="5"/>
  <c r="N59" i="5"/>
  <c r="O59" i="5" s="1"/>
  <c r="O58" i="5"/>
  <c r="C19" i="11" l="1"/>
  <c r="H43" i="11" s="1"/>
  <c r="J43" i="11" s="1"/>
  <c r="T21" i="9"/>
  <c r="N66" i="5"/>
  <c r="O66" i="5" s="1"/>
  <c r="O65" i="5"/>
  <c r="Q37" i="9"/>
  <c r="N72" i="5"/>
  <c r="M73" i="5"/>
  <c r="S23" i="9"/>
  <c r="S13" i="9" s="1"/>
  <c r="S24" i="9" s="1"/>
  <c r="R23" i="9"/>
  <c r="R13" i="9" s="1"/>
  <c r="R24" i="9" s="1"/>
  <c r="S7" i="9" s="1"/>
  <c r="E42" i="11"/>
  <c r="F63" i="11"/>
  <c r="F65" i="11" s="1"/>
  <c r="M79" i="5"/>
  <c r="L80" i="5"/>
  <c r="C43" i="11" l="1"/>
  <c r="E43" i="11" s="1"/>
  <c r="E19" i="11"/>
  <c r="C21" i="11"/>
  <c r="T7" i="9"/>
  <c r="R37" i="9"/>
  <c r="U21" i="9"/>
  <c r="N79" i="5"/>
  <c r="M80" i="5"/>
  <c r="C20" i="11"/>
  <c r="F68" i="11"/>
  <c r="F69" i="11" s="1"/>
  <c r="F66" i="11"/>
  <c r="D75" i="11"/>
  <c r="F75" i="11" s="1"/>
  <c r="N73" i="5"/>
  <c r="O73" i="5" s="1"/>
  <c r="O72" i="5"/>
  <c r="G63" i="11" l="1"/>
  <c r="G65" i="11" s="1"/>
  <c r="G68" i="11" s="1"/>
  <c r="G69" i="11" s="1"/>
  <c r="U23" i="9"/>
  <c r="U13" i="9" s="1"/>
  <c r="U24" i="9" s="1"/>
  <c r="N80" i="5"/>
  <c r="O80" i="5" s="1"/>
  <c r="O79" i="5"/>
  <c r="V21" i="9"/>
  <c r="E21" i="11"/>
  <c r="C45" i="11"/>
  <c r="H45" i="11"/>
  <c r="J45" i="11" s="1"/>
  <c r="C22" i="11"/>
  <c r="T23" i="9"/>
  <c r="T13" i="9" s="1"/>
  <c r="T24" i="9" s="1"/>
  <c r="U7" i="9" s="1"/>
  <c r="E20" i="11"/>
  <c r="C44" i="11"/>
  <c r="H44" i="11"/>
  <c r="J44" i="11" s="1"/>
  <c r="S37" i="9"/>
  <c r="G66" i="11" l="1"/>
  <c r="C23" i="11"/>
  <c r="C27" i="11" s="1"/>
  <c r="H46" i="11"/>
  <c r="J46" i="11" s="1"/>
  <c r="E22" i="11"/>
  <c r="C46" i="11"/>
  <c r="E44" i="11"/>
  <c r="H63" i="11"/>
  <c r="H65" i="11" s="1"/>
  <c r="H68" i="11" s="1"/>
  <c r="H69" i="11" s="1"/>
  <c r="E45" i="11"/>
  <c r="I63" i="11"/>
  <c r="I65" i="11" s="1"/>
  <c r="I68" i="11" s="1"/>
  <c r="W21" i="9"/>
  <c r="X28" i="7"/>
  <c r="T37" i="9"/>
  <c r="V7" i="9"/>
  <c r="I69" i="11" l="1"/>
  <c r="C24" i="11"/>
  <c r="D76" i="11"/>
  <c r="F76" i="11" s="1"/>
  <c r="H66" i="11"/>
  <c r="I66" i="11" s="1"/>
  <c r="W23" i="9"/>
  <c r="W13" i="9" s="1"/>
  <c r="W24" i="9" s="1"/>
  <c r="X29" i="7"/>
  <c r="V23" i="9"/>
  <c r="V13" i="9" s="1"/>
  <c r="V24" i="9" s="1"/>
  <c r="W7" i="9" s="1"/>
  <c r="U37" i="9"/>
  <c r="C47" i="11"/>
  <c r="E47" i="11" s="1"/>
  <c r="E23" i="11"/>
  <c r="H47" i="11"/>
  <c r="J47" i="11" s="1"/>
  <c r="E46" i="11"/>
  <c r="J63" i="11"/>
  <c r="J65" i="11" s="1"/>
  <c r="J68" i="11" s="1"/>
  <c r="J69" i="11" l="1"/>
  <c r="J66" i="11"/>
  <c r="W37" i="9"/>
  <c r="V37" i="9"/>
  <c r="X30" i="7"/>
  <c r="H48" i="11"/>
  <c r="J48" i="11" s="1"/>
  <c r="E24" i="11"/>
  <c r="C48" i="11"/>
  <c r="E48" i="11" s="1"/>
  <c r="X33" i="7" l="1"/>
  <c r="C25" i="11"/>
  <c r="X31" i="7"/>
  <c r="H49" i="11" l="1"/>
  <c r="J49" i="11" s="1"/>
  <c r="J50" i="11" s="1"/>
  <c r="E25" i="11"/>
  <c r="E26" i="11" s="1"/>
  <c r="C49" i="11"/>
  <c r="E49" i="11" s="1"/>
  <c r="E50" i="11" s="1"/>
  <c r="C2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</authors>
  <commentList>
    <comment ref="F10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Курс Нац.банка на 17.10.11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Михаил</author>
  </authors>
  <commentList>
    <comment ref="A14" authorId="0" shapeId="0" xr:uid="{00000000-0006-0000-0A00-000001000000}">
      <text>
        <r>
          <rPr>
            <sz val="8"/>
            <color indexed="81"/>
            <rFont val="Tahoma"/>
            <family val="2"/>
          </rPr>
          <t>Разница между выручкой от реализации и точкой безубыточности</t>
        </r>
      </text>
    </comment>
    <comment ref="A15" authorId="0" shapeId="0" xr:uid="{00000000-0006-0000-0A00-000002000000}">
      <text>
        <r>
          <rPr>
            <sz val="8"/>
            <color indexed="81"/>
            <rFont val="Tahoma"/>
            <family val="2"/>
          </rPr>
          <t>Запас прочности, рассчитанный с применением точки безубыточности, представлен в процентном соотношении и равен частному от деления отклонения от ТБ в абсолютном выражении и выручки от реализации.</t>
        </r>
      </text>
    </comment>
  </commentList>
</comments>
</file>

<file path=xl/sharedStrings.xml><?xml version="1.0" encoding="utf-8"?>
<sst xmlns="http://schemas.openxmlformats.org/spreadsheetml/2006/main" count="661" uniqueCount="279">
  <si>
    <t>ИТОГО</t>
  </si>
  <si>
    <t xml:space="preserve">Процентная ставка </t>
  </si>
  <si>
    <t>годовых</t>
  </si>
  <si>
    <t>Срок кредитования</t>
  </si>
  <si>
    <t>месяцев</t>
  </si>
  <si>
    <t>Период</t>
  </si>
  <si>
    <t>Приложение 1</t>
  </si>
  <si>
    <t>Сумма кредита</t>
  </si>
  <si>
    <t>Непогашенный остаток</t>
  </si>
  <si>
    <t>Выплата основного долга</t>
  </si>
  <si>
    <t>Начислено процентов</t>
  </si>
  <si>
    <t>Итого к оплате</t>
  </si>
  <si>
    <t>Наименование статей дохода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</si>
  <si>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</si>
  <si>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</si>
  <si>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</si>
  <si>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</si>
  <si>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</si>
  <si>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</si>
  <si>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</si>
  <si>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</si>
  <si>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</si>
  <si>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</si>
  <si>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</si>
  <si>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</si>
  <si>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Экономическая эффективность проекта</t>
  </si>
  <si>
    <t>1. Определение Чистого приведенного дохода (NPV)</t>
  </si>
  <si>
    <t>Год</t>
  </si>
  <si>
    <t>1-й год</t>
  </si>
  <si>
    <t>2-й год</t>
  </si>
  <si>
    <t>3-й год</t>
  </si>
  <si>
    <t>4-й год</t>
  </si>
  <si>
    <t>5-й год</t>
  </si>
  <si>
    <t>Определение текщей стоимости доходов:</t>
  </si>
  <si>
    <t>Денежные поступления</t>
  </si>
  <si>
    <t>Коэффициент дисконтирования</t>
  </si>
  <si>
    <t>NPV</t>
  </si>
  <si>
    <t>0-й год</t>
  </si>
  <si>
    <t>2. Определение внутренней нормы доходности IRR</t>
  </si>
  <si>
    <t>Для определения IRR смоделируем ситуацию</t>
  </si>
  <si>
    <t>r1=</t>
  </si>
  <si>
    <t>r2=</t>
  </si>
  <si>
    <t>NPV 1</t>
  </si>
  <si>
    <t>NPV2</t>
  </si>
  <si>
    <t>IRR=</t>
  </si>
  <si>
    <t>%</t>
  </si>
  <si>
    <t>3. Срок окупаемости всего проекта  (простой и дисконтированный)</t>
  </si>
  <si>
    <t>тыс. тенге</t>
  </si>
  <si>
    <t>период</t>
  </si>
  <si>
    <t>Инвестиции</t>
  </si>
  <si>
    <t>Чистая прибыль</t>
  </si>
  <si>
    <t>Финансовые издержки</t>
  </si>
  <si>
    <t>Поток наличности</t>
  </si>
  <si>
    <t>Кумулятивный поток наличности</t>
  </si>
  <si>
    <t>Фактор дисконтирования при ставке 18%</t>
  </si>
  <si>
    <t>Дисконтированный поток наличности</t>
  </si>
  <si>
    <t>Кумулятивный поток дисконтированной наличности</t>
  </si>
  <si>
    <t>Срок окупаемости проекта = n + /CFn+1//(/CFn/ + /CFn + /))</t>
  </si>
  <si>
    <t xml:space="preserve">Простой срок окупаемости проекта = </t>
  </si>
  <si>
    <t>года/лет</t>
  </si>
  <si>
    <t>Дисконтированный срок окупаемости проекта =</t>
  </si>
  <si>
    <t>Расчет доходной части проекта</t>
  </si>
  <si>
    <t>ВСЕГО ПО ПРОЕКТУ</t>
  </si>
  <si>
    <t>Отчет о прибылях  убытках, в тенге</t>
  </si>
  <si>
    <t>Итого 1-й год</t>
  </si>
  <si>
    <t>Итого 2-й год</t>
  </si>
  <si>
    <t>Итого 3-й год</t>
  </si>
  <si>
    <t>Итого 4-й год</t>
  </si>
  <si>
    <t>Итого 5-й год</t>
  </si>
  <si>
    <t xml:space="preserve">График погашения кредитных средств по месяцам </t>
  </si>
  <si>
    <t>в количестве</t>
  </si>
  <si>
    <t>чел.</t>
  </si>
  <si>
    <t>С месячным ФОТ</t>
  </si>
  <si>
    <t>тенге</t>
  </si>
  <si>
    <t>№ п/п</t>
  </si>
  <si>
    <t>Должность</t>
  </si>
  <si>
    <t>Должностной оклад, тенге</t>
  </si>
  <si>
    <t>Месячный ФОТ, тенге</t>
  </si>
  <si>
    <t>Итого</t>
  </si>
  <si>
    <t>АУП</t>
  </si>
  <si>
    <t>ВСЕГО</t>
  </si>
  <si>
    <t>Заработная плата</t>
  </si>
  <si>
    <t>Текущие затраты</t>
  </si>
  <si>
    <t>Специальность</t>
  </si>
  <si>
    <t>Тенге в месяц</t>
  </si>
  <si>
    <t>Административные и общехозяйственные расходы, в том числе:</t>
  </si>
  <si>
    <t>Соц.налог+Соц.отчисления</t>
  </si>
  <si>
    <t>Прочие непредвиденные</t>
  </si>
  <si>
    <t>Хозрасходы</t>
  </si>
  <si>
    <t>Канцтовары</t>
  </si>
  <si>
    <t>Услуги связи (телефон, интернет, почта)</t>
  </si>
  <si>
    <t>ПРОГНОЗ</t>
  </si>
  <si>
    <t>Валовая прибыль</t>
  </si>
  <si>
    <t>Операционные расходы</t>
  </si>
  <si>
    <t>Итого операционные затраты</t>
  </si>
  <si>
    <t>Вознаграждение по кредиту</t>
  </si>
  <si>
    <t>Выручка от реализации</t>
  </si>
  <si>
    <t>Платеж НДС (справочно)</t>
  </si>
  <si>
    <t>Себестоимость</t>
  </si>
  <si>
    <t>Прибыль до налогообложения</t>
  </si>
  <si>
    <t>Налог на прибыль</t>
  </si>
  <si>
    <t>Погашение основного долга по кредиту</t>
  </si>
  <si>
    <t>НДС начисленный</t>
  </si>
  <si>
    <t>Социальный налог и соц.отчисления</t>
  </si>
  <si>
    <t>Денежные средства на начало</t>
  </si>
  <si>
    <t>Движение денежных средств от операционной деятельности</t>
  </si>
  <si>
    <t>Поступление денежных средств</t>
  </si>
  <si>
    <t>Собственные средства</t>
  </si>
  <si>
    <t>Выбытие денежных средств</t>
  </si>
  <si>
    <t>Вознаграждение за пользование кредитом</t>
  </si>
  <si>
    <t>НДС к уплате</t>
  </si>
  <si>
    <t>Результат от операционной деятельности</t>
  </si>
  <si>
    <t>Движение денежных средств от инвестиционной деятельности</t>
  </si>
  <si>
    <t>Результат от инвестиционной деятельности</t>
  </si>
  <si>
    <t>Движение денежных средств от финансовой деятельности</t>
  </si>
  <si>
    <t>Итого поступление денежных средств</t>
  </si>
  <si>
    <t>Кредит</t>
  </si>
  <si>
    <t>Результат от финансовой деятельности</t>
  </si>
  <si>
    <t>6-й год</t>
  </si>
  <si>
    <t>Итого 6-й год</t>
  </si>
  <si>
    <t>7-й год</t>
  </si>
  <si>
    <t>Итого 7-й год</t>
  </si>
  <si>
    <t>Опеределения текущей стоимости 1 тенге при ставке 18%:</t>
  </si>
  <si>
    <t>Приложение 8</t>
  </si>
  <si>
    <t>(в тыс.тенге)</t>
  </si>
  <si>
    <t>Год:</t>
  </si>
  <si>
    <t xml:space="preserve">Доход от основной деятельности                                   </t>
  </si>
  <si>
    <t>Валовый доход/Убыток</t>
  </si>
  <si>
    <t>Коэффициент маржинального дохода</t>
  </si>
  <si>
    <t>Точка безубыточности</t>
  </si>
  <si>
    <t>Отклонение от ТБ в абсолютном выражении</t>
  </si>
  <si>
    <t>Запас прочности по точке безубыточности</t>
  </si>
  <si>
    <r>
      <t>Точка Безубыточности</t>
    </r>
    <r>
      <rPr>
        <sz val="10"/>
        <rFont val="Times New Roman"/>
        <family val="1"/>
        <charset val="204"/>
      </rPr>
      <t xml:space="preserve"> - это минимальный размер валовой выручки, необходимый для покрытия всех постоянных и переменных расходов.</t>
    </r>
  </si>
  <si>
    <t>Комиссия за выдачу кредита</t>
  </si>
  <si>
    <t>месяц</t>
  </si>
  <si>
    <t>НДС в зачет (справочно)</t>
  </si>
  <si>
    <t>ФИНАНСОВАЯ МОДЕЛЬ</t>
  </si>
  <si>
    <t>Заемные средства</t>
  </si>
  <si>
    <t>Основные показатели по проекту:</t>
  </si>
  <si>
    <t>Курс 1 долл. США, тенге</t>
  </si>
  <si>
    <t>8-й год</t>
  </si>
  <si>
    <t>9-й год</t>
  </si>
  <si>
    <t>10-й год</t>
  </si>
  <si>
    <t>Кол-во ед.</t>
  </si>
  <si>
    <t>Далее в ОПУ (с 3 по 10 год в расчетах запланированы продажи аналогично 2 года с учетом прогноза роста цен и изменения объемов производства, сбыта)</t>
  </si>
  <si>
    <t>Наименование статей расхода</t>
  </si>
  <si>
    <t>1.График (гориз)'!A1</t>
  </si>
  <si>
    <t>2.Персонал'!A1</t>
  </si>
  <si>
    <t>3.Выручка'!A1</t>
  </si>
  <si>
    <t>4.Себестоимость'!A1</t>
  </si>
  <si>
    <t>Расходы на рекламу и продвижение</t>
  </si>
  <si>
    <t>Штатное расписание</t>
  </si>
  <si>
    <t>5.Затраты'!A1</t>
  </si>
  <si>
    <t>6.Амортизация'!A1</t>
  </si>
  <si>
    <t>7.ОПУ'!A1</t>
  </si>
  <si>
    <t>Прогноз отчета о движении денежных средств</t>
  </si>
  <si>
    <t>Расчет точки безубыточности</t>
  </si>
  <si>
    <t>8.CF'!A1</t>
  </si>
  <si>
    <t>9.Эффективность'!A1</t>
  </si>
  <si>
    <t>10.ТОЧКА БЕЗУБЫТОЧНОСТИ'!A1</t>
  </si>
  <si>
    <t>Наименование приложения:</t>
  </si>
  <si>
    <t>Ссылка:</t>
  </si>
  <si>
    <t>Структура финансовой модели проекта</t>
  </si>
  <si>
    <t>Итого 8-й год</t>
  </si>
  <si>
    <t>Итого 9-й год</t>
  </si>
  <si>
    <t>Итого 10-й год</t>
  </si>
  <si>
    <t>НДС, 1-й год:</t>
  </si>
  <si>
    <t>НДС, 2-й год:</t>
  </si>
  <si>
    <r>
      <t>(1+r)</t>
    </r>
    <r>
      <rPr>
        <vertAlign val="superscript"/>
        <sz val="12"/>
        <rFont val="Arial Narrow"/>
        <family val="2"/>
        <charset val="204"/>
      </rPr>
      <t>-n</t>
    </r>
  </si>
  <si>
    <t>Денежные средства на конец</t>
  </si>
  <si>
    <t>Вклад участника</t>
  </si>
  <si>
    <t>Субсидии на закуп базы (7%)</t>
  </si>
  <si>
    <t>субсидий от Фонда развития "Даму" отражены в приложениях "ОПУ" и "CF".</t>
  </si>
  <si>
    <t>Цех</t>
  </si>
  <si>
    <t>Оператор (вязальное производство)</t>
  </si>
  <si>
    <t>Оператор (ламинат машина)</t>
  </si>
  <si>
    <t>Влияние инфляции в динамике будущих периодов учтено как на доходы, так и на расходы, поэтому не индексировалось</t>
  </si>
  <si>
    <t>Коммунальные расходы</t>
  </si>
  <si>
    <t xml:space="preserve">процентная ставка АО "Банк Центр Кредит" при займе от 3 лет </t>
  </si>
  <si>
    <t>Субсидии от фонда "Даму" (7%)</t>
  </si>
  <si>
    <t>Цели финансирования</t>
  </si>
  <si>
    <t>планируется</t>
  </si>
  <si>
    <t>в тенге</t>
  </si>
  <si>
    <t>итого</t>
  </si>
  <si>
    <t xml:space="preserve">Производственный план реализации проекта. </t>
  </si>
  <si>
    <t>Меро-приятия</t>
  </si>
  <si>
    <t>I год</t>
  </si>
  <si>
    <t>II год</t>
  </si>
  <si>
    <t>Подготовка бизнес-плана</t>
  </si>
  <si>
    <t>Маркетинговые исследования</t>
  </si>
  <si>
    <t>Отработка контрактов</t>
  </si>
  <si>
    <t>Поставка оборудования</t>
  </si>
  <si>
    <t>Наладка и запуск</t>
  </si>
  <si>
    <t>Выход на рынок РК</t>
  </si>
  <si>
    <t>Проведение круглого стола</t>
  </si>
  <si>
    <t>Реклама в СМИ</t>
  </si>
  <si>
    <t>Интернет реклама</t>
  </si>
  <si>
    <t>Создание дилерской сети в РК</t>
  </si>
  <si>
    <t>Размещение баннеров</t>
  </si>
  <si>
    <t>Реклама BTL()</t>
  </si>
  <si>
    <t>1-й месяц (Апрель 2013)</t>
  </si>
  <si>
    <t>2-й месяц (Май 2013)</t>
  </si>
  <si>
    <t>3-й месяц (Июнь 2013)</t>
  </si>
  <si>
    <t>4-й месяц (Июль 2013)</t>
  </si>
  <si>
    <t>5-й месяц (Август 2013)</t>
  </si>
  <si>
    <t>6-й месяц (Сентябрь 2013)</t>
  </si>
  <si>
    <t>7-й месяц (Октябрь 2013)</t>
  </si>
  <si>
    <t>8-й месяц (Ноябрь 2013)</t>
  </si>
  <si>
    <t>9-й месяц (Декабрь 2013)</t>
  </si>
  <si>
    <t>10-й месяц (Январь 2014)</t>
  </si>
  <si>
    <t>11-й месяц (Февраль 2014)</t>
  </si>
  <si>
    <t>12-й месяц (Март 2014)</t>
  </si>
  <si>
    <t>Себестоимость предоставляемых услуг</t>
  </si>
  <si>
    <t xml:space="preserve">Заработная плата </t>
  </si>
  <si>
    <t>Арендные платежи</t>
  </si>
  <si>
    <t>Ставка дисконтирования 12%</t>
  </si>
  <si>
    <t>Строительство/ремонт помещений</t>
  </si>
  <si>
    <t>Прибыль после уплаты налогов</t>
  </si>
  <si>
    <t xml:space="preserve">Прибыль до налогообложения </t>
  </si>
  <si>
    <t>средний чек, тенге</t>
  </si>
  <si>
    <t>Закуп оборудования и прочей мебели</t>
  </si>
  <si>
    <t>Строительство кассовых помещений,  пунктов для доп.сервиса и ограждения</t>
  </si>
  <si>
    <t>Прочие непредвиденные и эксплуатационные расходы</t>
  </si>
  <si>
    <t>План финансирования по проекту "Музыкальная школа Music Vibe"</t>
  </si>
  <si>
    <t>Приобретение мебели и оборудования для школы</t>
  </si>
  <si>
    <t>Ремонт помещений (2 помещения)</t>
  </si>
  <si>
    <t>Маркетенговые расходы</t>
  </si>
  <si>
    <t>Закуп инструментов на продажу</t>
  </si>
  <si>
    <t>Создание Сайта + внедрение CRM</t>
  </si>
  <si>
    <t>За счет инвестиционных средств</t>
  </si>
  <si>
    <t>Администратор</t>
  </si>
  <si>
    <t>Вокал</t>
  </si>
  <si>
    <t>Гитара</t>
  </si>
  <si>
    <t>Фортепиано</t>
  </si>
  <si>
    <t>Домбра</t>
  </si>
  <si>
    <t>Барабаны</t>
  </si>
  <si>
    <t>Тех персонал</t>
  </si>
  <si>
    <t>SMM Target</t>
  </si>
  <si>
    <t>Вокал(индивидульные занятия)</t>
  </si>
  <si>
    <t>количество учеников</t>
  </si>
  <si>
    <t>кол-во учеников</t>
  </si>
  <si>
    <t>Инструменты(Гитара,фортепиан,домбра,барабаны)</t>
  </si>
  <si>
    <t>Групповые занятия (Танцы, актерское мастерство)</t>
  </si>
  <si>
    <t>Кол-во учеников</t>
  </si>
  <si>
    <t>групповые занятия инструменты</t>
  </si>
  <si>
    <t>Себестоимость услуги Вокала</t>
  </si>
  <si>
    <t>Себестоимость услуг инструменты</t>
  </si>
  <si>
    <t>Себестоимость услуг групповые занятия</t>
  </si>
  <si>
    <t>1-й месяц (Апрель 2023)</t>
  </si>
  <si>
    <t>2-й месяц (Май 2023)</t>
  </si>
  <si>
    <t>3-й месяц (Июнь 2023)</t>
  </si>
  <si>
    <t>4-й месяц (Июль 2023)</t>
  </si>
  <si>
    <t>5-й месяц (Август 2023)</t>
  </si>
  <si>
    <t>6-й месяц (Сентябрь 2023)</t>
  </si>
  <si>
    <t>7-й месяц (Октябрь 2023)</t>
  </si>
  <si>
    <t>8-й месяц (Ноябрь 2023)</t>
  </si>
  <si>
    <t>9-й месяц (Декабрь 2023)</t>
  </si>
  <si>
    <t>10-й месяц (Январь 2024)</t>
  </si>
  <si>
    <t>11-й месяц (Февраль 2024)</t>
  </si>
  <si>
    <t>12-й месяц (Март 2024)</t>
  </si>
  <si>
    <t>1-й месяц (Апрель 2024)</t>
  </si>
  <si>
    <t>2-й месяц (Май 2024)</t>
  </si>
  <si>
    <t>3-й месяц (Июнь 2024)</t>
  </si>
  <si>
    <t>4-й месяц (Июль 2024)</t>
  </si>
  <si>
    <t>5-й месяц (Август 2024)</t>
  </si>
  <si>
    <t>6-й месяц (Сентябрь 2024)</t>
  </si>
  <si>
    <t>7-й месяц (Октябрь 2024)</t>
  </si>
  <si>
    <t>8-й месяц (Ноябрь 2024)</t>
  </si>
  <si>
    <t>9-й месяц (Декабрь 2024)</t>
  </si>
  <si>
    <t>11-й месяц (Февраль 2025)</t>
  </si>
  <si>
    <t>12-й месяц (Март 2025)</t>
  </si>
  <si>
    <t>10-й месяц (Январь 2025)</t>
  </si>
  <si>
    <t>Приоберетение 2 точки на левом берегу (готовый бизнес)</t>
  </si>
  <si>
    <t>Открытие 3 точки (с нуля)</t>
  </si>
  <si>
    <t>Управляющий</t>
  </si>
  <si>
    <t>Расходы на непредвительнные обстоятельства</t>
  </si>
  <si>
    <t>средний чек тенге</t>
  </si>
  <si>
    <t>Выручка НДС</t>
  </si>
  <si>
    <t>прибыль инвестора при 10% доли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</si>
</sst>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#,##0.0"/>
    <numFmt numFmtId="167" formatCode="0.0"/>
    <numFmt numFmtId="168" formatCode="#,##0.0000"/>
    <numFmt numFmtId="169" formatCode="#,##0.0000000"/>
    <numFmt numFmtId="170" formatCode="#,##0_ ;[Red]\-#,##0\ "/>
    <numFmt numFmtId="171" formatCode="#,##0.00_ ;[Red]\-#,##0.00\ "/>
    <numFmt numFmtId="172" formatCode="_(* #,##0_);_(* \(#,##0\);_(* &quot;-&quot;??_);_(@_)"/>
    <numFmt numFmtId="173" formatCode="_-* #,##0_р_._-;\-* #,##0_р_._-;_-* &quot;-&quot;??_р_._-;_-@_-"/>
  </numFmts>
  <fonts count="59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color indexed="12"/>
      <name val="Times New Roman Cyr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8"/>
      <color indexed="81"/>
      <name val="Tahoma"/>
      <family val="2"/>
    </font>
    <font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8"/>
      <color indexed="8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8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color indexed="12"/>
      <name val="Arial Narrow"/>
      <family val="2"/>
      <charset val="204"/>
    </font>
    <font>
      <b/>
      <sz val="12"/>
      <color indexed="1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2"/>
      <color indexed="12"/>
      <name val="Arial Narrow"/>
      <family val="2"/>
      <charset val="204"/>
    </font>
    <font>
      <i/>
      <sz val="10"/>
      <color indexed="12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sz val="11"/>
      <color indexed="12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  <font>
      <i/>
      <sz val="8"/>
      <name val="Arial Narrow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 Narrow"/>
      <family val="2"/>
    </font>
    <font>
      <b/>
      <i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0" xfId="0" applyNumberFormat="1" applyFont="1" applyAlignment="1">
      <alignment vertical="center"/>
    </xf>
    <xf numFmtId="0" fontId="8" fillId="0" borderId="0" xfId="0" applyFont="1" applyFill="1"/>
    <xf numFmtId="3" fontId="8" fillId="0" borderId="1" xfId="0" applyNumberFormat="1" applyFont="1" applyFill="1" applyBorder="1"/>
    <xf numFmtId="49" fontId="9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171" fontId="8" fillId="0" borderId="0" xfId="0" applyNumberFormat="1" applyFont="1" applyFill="1"/>
    <xf numFmtId="170" fontId="8" fillId="0" borderId="0" xfId="0" applyNumberFormat="1" applyFont="1" applyFill="1"/>
    <xf numFmtId="49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/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3" fontId="9" fillId="2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0" fontId="4" fillId="0" borderId="0" xfId="0" applyFont="1" applyBorder="1"/>
    <xf numFmtId="0" fontId="15" fillId="0" borderId="2" xfId="0" applyFont="1" applyFill="1" applyBorder="1"/>
    <xf numFmtId="0" fontId="4" fillId="0" borderId="3" xfId="0" applyFont="1" applyBorder="1"/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6" fillId="0" borderId="0" xfId="0" applyFont="1" applyBorder="1"/>
    <xf numFmtId="165" fontId="3" fillId="0" borderId="0" xfId="2" applyFont="1" applyFill="1" applyBorder="1"/>
    <xf numFmtId="0" fontId="3" fillId="0" borderId="0" xfId="0" applyFont="1" applyBorder="1"/>
    <xf numFmtId="9" fontId="17" fillId="0" borderId="7" xfId="2" applyNumberFormat="1" applyFont="1" applyFill="1" applyBorder="1" applyAlignment="1">
      <alignment horizontal="center"/>
    </xf>
    <xf numFmtId="172" fontId="3" fillId="0" borderId="0" xfId="2" applyNumberFormat="1" applyFont="1" applyBorder="1"/>
    <xf numFmtId="172" fontId="3" fillId="0" borderId="0" xfId="2" applyNumberFormat="1" applyFont="1"/>
    <xf numFmtId="3" fontId="8" fillId="0" borderId="0" xfId="0" applyNumberFormat="1" applyFont="1" applyFill="1"/>
    <xf numFmtId="165" fontId="3" fillId="0" borderId="9" xfId="2" applyNumberFormat="1" applyFont="1" applyFill="1" applyBorder="1"/>
    <xf numFmtId="165" fontId="3" fillId="0" borderId="0" xfId="2" applyNumberFormat="1" applyFont="1" applyFill="1" applyBorder="1"/>
    <xf numFmtId="172" fontId="3" fillId="0" borderId="9" xfId="2" applyNumberFormat="1" applyFont="1" applyFill="1" applyBorder="1"/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/>
    <xf numFmtId="3" fontId="21" fillId="0" borderId="0" xfId="0" applyNumberFormat="1" applyFont="1"/>
    <xf numFmtId="9" fontId="20" fillId="2" borderId="1" xfId="0" applyNumberFormat="1" applyFont="1" applyFill="1" applyBorder="1"/>
    <xf numFmtId="0" fontId="20" fillId="2" borderId="1" xfId="0" applyFont="1" applyFill="1" applyBorder="1"/>
    <xf numFmtId="17" fontId="22" fillId="0" borderId="0" xfId="0" applyNumberFormat="1" applyFont="1"/>
    <xf numFmtId="0" fontId="20" fillId="2" borderId="1" xfId="0" applyFont="1" applyFill="1" applyBorder="1" applyAlignment="1">
      <alignment horizontal="center"/>
    </xf>
    <xf numFmtId="17" fontId="20" fillId="2" borderId="1" xfId="0" applyNumberFormat="1" applyFont="1" applyFill="1" applyBorder="1" applyAlignment="1">
      <alignment horizontal="center"/>
    </xf>
    <xf numFmtId="0" fontId="21" fillId="0" borderId="1" xfId="0" applyFont="1" applyBorder="1"/>
    <xf numFmtId="3" fontId="20" fillId="2" borderId="1" xfId="0" applyNumberFormat="1" applyFont="1" applyFill="1" applyBorder="1"/>
    <xf numFmtId="0" fontId="20" fillId="0" borderId="1" xfId="0" applyFont="1" applyBorder="1"/>
    <xf numFmtId="3" fontId="21" fillId="0" borderId="1" xfId="0" applyNumberFormat="1" applyFont="1" applyBorder="1"/>
    <xf numFmtId="3" fontId="20" fillId="0" borderId="1" xfId="0" applyNumberFormat="1" applyFont="1" applyBorder="1"/>
    <xf numFmtId="3" fontId="23" fillId="0" borderId="1" xfId="0" applyNumberFormat="1" applyFont="1" applyBorder="1"/>
    <xf numFmtId="3" fontId="23" fillId="0" borderId="0" xfId="0" applyNumberFormat="1" applyFont="1"/>
    <xf numFmtId="17" fontId="21" fillId="0" borderId="0" xfId="0" applyNumberFormat="1" applyFont="1"/>
    <xf numFmtId="165" fontId="21" fillId="0" borderId="0" xfId="2" applyFont="1"/>
    <xf numFmtId="0" fontId="19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0" fontId="23" fillId="0" borderId="0" xfId="0" applyFont="1" applyFill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3" fontId="21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3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0" xfId="0" applyFont="1" applyFill="1"/>
    <xf numFmtId="3" fontId="21" fillId="0" borderId="0" xfId="0" applyNumberFormat="1" applyFont="1" applyFill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0" xfId="0" applyFont="1"/>
    <xf numFmtId="0" fontId="25" fillId="0" borderId="0" xfId="0" applyFont="1"/>
    <xf numFmtId="0" fontId="24" fillId="0" borderId="0" xfId="0" applyFont="1"/>
    <xf numFmtId="3" fontId="25" fillId="0" borderId="0" xfId="0" applyNumberFormat="1" applyFont="1"/>
    <xf numFmtId="165" fontId="25" fillId="0" borderId="0" xfId="2" applyFont="1"/>
    <xf numFmtId="164" fontId="25" fillId="0" borderId="0" xfId="0" applyNumberFormat="1" applyFont="1"/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1" xfId="0" applyNumberFormat="1" applyFont="1" applyBorder="1"/>
    <xf numFmtId="3" fontId="24" fillId="0" borderId="1" xfId="0" applyNumberFormat="1" applyFont="1" applyFill="1" applyBorder="1"/>
    <xf numFmtId="3" fontId="25" fillId="0" borderId="1" xfId="0" applyNumberFormat="1" applyFont="1" applyBorder="1"/>
    <xf numFmtId="3" fontId="25" fillId="0" borderId="1" xfId="0" applyNumberFormat="1" applyFont="1" applyFill="1" applyBorder="1"/>
    <xf numFmtId="0" fontId="24" fillId="0" borderId="1" xfId="0" applyFont="1" applyBorder="1"/>
    <xf numFmtId="0" fontId="2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/>
    </xf>
    <xf numFmtId="0" fontId="24" fillId="0" borderId="1" xfId="0" applyFont="1" applyFill="1" applyBorder="1"/>
    <xf numFmtId="17" fontId="25" fillId="0" borderId="0" xfId="0" applyNumberFormat="1" applyFont="1"/>
    <xf numFmtId="0" fontId="30" fillId="0" borderId="0" xfId="0" applyFont="1"/>
    <xf numFmtId="0" fontId="30" fillId="0" borderId="1" xfId="0" applyFont="1" applyBorder="1" applyAlignment="1">
      <alignment horizontal="left" vertical="center" wrapText="1"/>
    </xf>
    <xf numFmtId="0" fontId="31" fillId="0" borderId="0" xfId="0" applyFont="1"/>
    <xf numFmtId="49" fontId="9" fillId="0" borderId="0" xfId="0" applyNumberFormat="1" applyFont="1" applyFill="1" applyAlignment="1"/>
    <xf numFmtId="0" fontId="31" fillId="0" borderId="1" xfId="0" applyFont="1" applyBorder="1" applyAlignment="1">
      <alignment horizontal="center" vertical="center" wrapText="1"/>
    </xf>
    <xf numFmtId="0" fontId="25" fillId="0" borderId="0" xfId="0" applyFont="1" applyBorder="1"/>
    <xf numFmtId="0" fontId="25" fillId="0" borderId="1" xfId="0" applyFont="1" applyFill="1" applyBorder="1" applyAlignment="1">
      <alignment horizontal="left"/>
    </xf>
    <xf numFmtId="0" fontId="25" fillId="0" borderId="1" xfId="0" applyFont="1" applyBorder="1"/>
    <xf numFmtId="3" fontId="28" fillId="0" borderId="1" xfId="0" applyNumberFormat="1" applyFont="1" applyBorder="1"/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32" fillId="0" borderId="8" xfId="0" applyFont="1" applyBorder="1" applyAlignment="1" applyProtection="1">
      <alignment vertical="center"/>
    </xf>
    <xf numFmtId="0" fontId="32" fillId="0" borderId="11" xfId="0" applyFont="1" applyFill="1" applyBorder="1" applyAlignment="1" applyProtection="1">
      <alignment horizontal="center" vertical="center" wrapText="1"/>
    </xf>
    <xf numFmtId="3" fontId="32" fillId="0" borderId="11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3" fontId="20" fillId="0" borderId="13" xfId="0" applyNumberFormat="1" applyFont="1" applyBorder="1" applyAlignment="1">
      <alignment wrapText="1"/>
    </xf>
    <xf numFmtId="3" fontId="20" fillId="0" borderId="13" xfId="0" applyNumberFormat="1" applyFont="1" applyBorder="1"/>
    <xf numFmtId="4" fontId="20" fillId="0" borderId="13" xfId="0" applyNumberFormat="1" applyFont="1" applyBorder="1"/>
    <xf numFmtId="3" fontId="20" fillId="0" borderId="0" xfId="0" applyNumberFormat="1" applyFont="1" applyBorder="1"/>
    <xf numFmtId="0" fontId="33" fillId="0" borderId="14" xfId="0" applyFont="1" applyBorder="1" applyAlignment="1" applyProtection="1">
      <alignment horizontal="center" vertical="center" wrapText="1"/>
      <protection locked="0"/>
    </xf>
    <xf numFmtId="3" fontId="20" fillId="0" borderId="1" xfId="0" applyNumberFormat="1" applyFont="1" applyBorder="1" applyAlignment="1">
      <alignment wrapText="1"/>
    </xf>
    <xf numFmtId="0" fontId="33" fillId="4" borderId="15" xfId="0" applyFont="1" applyFill="1" applyBorder="1" applyAlignment="1" applyProtection="1">
      <alignment horizontal="center" vertical="center" wrapText="1"/>
      <protection locked="0"/>
    </xf>
    <xf numFmtId="3" fontId="21" fillId="0" borderId="1" xfId="0" applyNumberFormat="1" applyFont="1" applyBorder="1" applyAlignment="1">
      <alignment wrapText="1"/>
    </xf>
    <xf numFmtId="3" fontId="21" fillId="0" borderId="16" xfId="0" applyNumberFormat="1" applyFont="1" applyBorder="1"/>
    <xf numFmtId="3" fontId="34" fillId="4" borderId="17" xfId="0" applyNumberFormat="1" applyFont="1" applyFill="1" applyBorder="1" applyAlignment="1" applyProtection="1">
      <protection locked="0"/>
    </xf>
    <xf numFmtId="166" fontId="25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21" fillId="2" borderId="1" xfId="0" applyNumberFormat="1" applyFont="1" applyFill="1" applyBorder="1" applyAlignment="1">
      <alignment wrapText="1"/>
    </xf>
    <xf numFmtId="3" fontId="21" fillId="2" borderId="1" xfId="0" applyNumberFormat="1" applyFont="1" applyFill="1" applyBorder="1"/>
    <xf numFmtId="3" fontId="21" fillId="0" borderId="0" xfId="0" applyNumberFormat="1" applyFont="1" applyFill="1" applyBorder="1" applyAlignment="1">
      <alignment wrapText="1"/>
    </xf>
    <xf numFmtId="3" fontId="21" fillId="0" borderId="1" xfId="0" applyNumberFormat="1" applyFont="1" applyFill="1" applyBorder="1"/>
    <xf numFmtId="3" fontId="21" fillId="0" borderId="16" xfId="0" applyNumberFormat="1" applyFont="1" applyFill="1" applyBorder="1"/>
    <xf numFmtId="3" fontId="36" fillId="0" borderId="0" xfId="0" applyNumberFormat="1" applyFont="1" applyAlignment="1">
      <alignment vertical="center"/>
    </xf>
    <xf numFmtId="3" fontId="23" fillId="0" borderId="1" xfId="0" applyNumberFormat="1" applyFont="1" applyBorder="1" applyAlignment="1">
      <alignment wrapText="1"/>
    </xf>
    <xf numFmtId="3" fontId="20" fillId="2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9" fontId="21" fillId="0" borderId="0" xfId="1" applyFont="1" applyAlignment="1">
      <alignment vertical="center"/>
    </xf>
    <xf numFmtId="170" fontId="20" fillId="2" borderId="1" xfId="0" applyNumberFormat="1" applyFont="1" applyFill="1" applyBorder="1" applyAlignment="1">
      <alignment wrapText="1"/>
    </xf>
    <xf numFmtId="170" fontId="20" fillId="2" borderId="1" xfId="0" applyNumberFormat="1" applyFont="1" applyFill="1" applyBorder="1"/>
    <xf numFmtId="0" fontId="20" fillId="0" borderId="1" xfId="0" applyFont="1" applyBorder="1" applyAlignment="1">
      <alignment horizontal="left" vertical="center" wrapText="1"/>
    </xf>
    <xf numFmtId="170" fontId="20" fillId="0" borderId="1" xfId="0" applyNumberFormat="1" applyFont="1" applyBorder="1" applyAlignment="1">
      <alignment horizontal="center" vertical="center"/>
    </xf>
    <xf numFmtId="165" fontId="21" fillId="0" borderId="0" xfId="2" applyFont="1" applyAlignment="1">
      <alignment vertical="center"/>
    </xf>
    <xf numFmtId="170" fontId="21" fillId="0" borderId="0" xfId="0" applyNumberFormat="1" applyFont="1" applyAlignment="1">
      <alignment vertical="center"/>
    </xf>
    <xf numFmtId="0" fontId="37" fillId="0" borderId="8" xfId="0" applyFont="1" applyBorder="1" applyAlignment="1" applyProtection="1">
      <alignment vertical="center"/>
    </xf>
    <xf numFmtId="0" fontId="28" fillId="0" borderId="0" xfId="0" applyFont="1"/>
    <xf numFmtId="0" fontId="25" fillId="3" borderId="1" xfId="0" applyFont="1" applyFill="1" applyBorder="1"/>
    <xf numFmtId="168" fontId="25" fillId="0" borderId="1" xfId="0" applyNumberFormat="1" applyFont="1" applyBorder="1"/>
    <xf numFmtId="49" fontId="25" fillId="0" borderId="0" xfId="0" applyNumberFormat="1" applyFont="1" applyAlignment="1">
      <alignment wrapText="1"/>
    </xf>
    <xf numFmtId="49" fontId="25" fillId="3" borderId="1" xfId="0" applyNumberFormat="1" applyFont="1" applyFill="1" applyBorder="1" applyAlignment="1">
      <alignment wrapText="1"/>
    </xf>
    <xf numFmtId="49" fontId="24" fillId="3" borderId="1" xfId="0" applyNumberFormat="1" applyFont="1" applyFill="1" applyBorder="1" applyAlignment="1">
      <alignment wrapText="1"/>
    </xf>
    <xf numFmtId="169" fontId="25" fillId="0" borderId="1" xfId="0" applyNumberFormat="1" applyFont="1" applyBorder="1"/>
    <xf numFmtId="3" fontId="24" fillId="0" borderId="0" xfId="0" applyNumberFormat="1" applyFont="1" applyBorder="1"/>
    <xf numFmtId="0" fontId="25" fillId="0" borderId="0" xfId="0" applyFont="1" applyAlignment="1">
      <alignment horizontal="right"/>
    </xf>
    <xf numFmtId="168" fontId="25" fillId="0" borderId="0" xfId="0" applyNumberFormat="1" applyFont="1" applyBorder="1"/>
    <xf numFmtId="4" fontId="25" fillId="0" borderId="0" xfId="0" applyNumberFormat="1" applyFont="1"/>
    <xf numFmtId="1" fontId="24" fillId="0" borderId="0" xfId="0" applyNumberFormat="1" applyFont="1"/>
    <xf numFmtId="0" fontId="24" fillId="0" borderId="0" xfId="0" applyFont="1" applyAlignment="1">
      <alignment horizontal="right"/>
    </xf>
    <xf numFmtId="4" fontId="24" fillId="0" borderId="0" xfId="0" applyNumberFormat="1" applyFont="1"/>
    <xf numFmtId="0" fontId="25" fillId="3" borderId="16" xfId="0" applyFont="1" applyFill="1" applyBorder="1"/>
    <xf numFmtId="0" fontId="25" fillId="3" borderId="16" xfId="0" applyFont="1" applyFill="1" applyBorder="1" applyAlignment="1"/>
    <xf numFmtId="0" fontId="25" fillId="3" borderId="18" xfId="0" applyFont="1" applyFill="1" applyBorder="1" applyAlignment="1"/>
    <xf numFmtId="0" fontId="25" fillId="3" borderId="19" xfId="0" applyFont="1" applyFill="1" applyBorder="1" applyAlignment="1"/>
    <xf numFmtId="0" fontId="25" fillId="3" borderId="1" xfId="0" applyFont="1" applyFill="1" applyBorder="1" applyAlignment="1"/>
    <xf numFmtId="0" fontId="25" fillId="3" borderId="13" xfId="0" applyFont="1" applyFill="1" applyBorder="1"/>
    <xf numFmtId="3" fontId="25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3" fontId="24" fillId="0" borderId="0" xfId="0" applyNumberFormat="1" applyFont="1"/>
    <xf numFmtId="3" fontId="28" fillId="0" borderId="1" xfId="0" applyNumberFormat="1" applyFont="1" applyBorder="1" applyAlignment="1">
      <alignment wrapText="1"/>
    </xf>
    <xf numFmtId="3" fontId="28" fillId="0" borderId="0" xfId="0" applyNumberFormat="1" applyFont="1"/>
    <xf numFmtId="169" fontId="25" fillId="0" borderId="1" xfId="0" applyNumberFormat="1" applyFont="1" applyBorder="1" applyAlignment="1">
      <alignment wrapText="1"/>
    </xf>
    <xf numFmtId="169" fontId="25" fillId="0" borderId="0" xfId="0" applyNumberFormat="1" applyFont="1"/>
    <xf numFmtId="2" fontId="24" fillId="0" borderId="0" xfId="0" applyNumberFormat="1" applyFont="1" applyFill="1"/>
    <xf numFmtId="10" fontId="24" fillId="0" borderId="0" xfId="0" applyNumberFormat="1" applyFont="1"/>
    <xf numFmtId="165" fontId="25" fillId="0" borderId="0" xfId="0" applyNumberFormat="1" applyFont="1"/>
    <xf numFmtId="0" fontId="39" fillId="0" borderId="1" xfId="0" applyFont="1" applyBorder="1" applyAlignment="1">
      <alignment horizontal="left" vertical="center" wrapText="1"/>
    </xf>
    <xf numFmtId="1" fontId="20" fillId="2" borderId="1" xfId="0" applyNumberFormat="1" applyFont="1" applyFill="1" applyBorder="1"/>
    <xf numFmtId="49" fontId="9" fillId="0" borderId="1" xfId="0" applyNumberFormat="1" applyFont="1" applyFill="1" applyBorder="1" applyAlignment="1"/>
    <xf numFmtId="9" fontId="20" fillId="2" borderId="1" xfId="1" applyFont="1" applyFill="1" applyBorder="1"/>
    <xf numFmtId="0" fontId="42" fillId="0" borderId="0" xfId="0" applyFont="1" applyAlignment="1"/>
    <xf numFmtId="0" fontId="43" fillId="0" borderId="0" xfId="0" applyFont="1"/>
    <xf numFmtId="0" fontId="44" fillId="2" borderId="1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10" fontId="45" fillId="0" borderId="1" xfId="1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10" fontId="46" fillId="0" borderId="1" xfId="1" applyNumberFormat="1" applyFont="1" applyBorder="1" applyAlignment="1">
      <alignment horizontal="center" vertical="center" wrapText="1"/>
    </xf>
    <xf numFmtId="2" fontId="44" fillId="2" borderId="1" xfId="0" applyNumberFormat="1" applyFont="1" applyFill="1" applyBorder="1" applyAlignment="1">
      <alignment horizontal="center" vertical="center" wrapText="1"/>
    </xf>
    <xf numFmtId="9" fontId="44" fillId="2" borderId="1" xfId="1" applyFont="1" applyFill="1" applyBorder="1" applyAlignment="1">
      <alignment horizontal="center" vertical="center" wrapText="1"/>
    </xf>
    <xf numFmtId="3" fontId="47" fillId="4" borderId="17" xfId="0" applyNumberFormat="1" applyFont="1" applyFill="1" applyBorder="1" applyAlignment="1" applyProtection="1">
      <protection locked="0"/>
    </xf>
    <xf numFmtId="0" fontId="48" fillId="0" borderId="0" xfId="0" applyFont="1" applyAlignment="1">
      <alignment horizontal="right"/>
    </xf>
    <xf numFmtId="0" fontId="49" fillId="0" borderId="0" xfId="0" applyFont="1"/>
    <xf numFmtId="0" fontId="50" fillId="0" borderId="0" xfId="0" applyFont="1"/>
    <xf numFmtId="0" fontId="48" fillId="0" borderId="0" xfId="0" applyFont="1"/>
    <xf numFmtId="0" fontId="34" fillId="0" borderId="0" xfId="0" applyFont="1"/>
    <xf numFmtId="0" fontId="51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53" fillId="2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right"/>
    </xf>
    <xf numFmtId="0" fontId="53" fillId="0" borderId="1" xfId="0" applyFont="1" applyBorder="1" applyAlignment="1">
      <alignment wrapText="1"/>
    </xf>
    <xf numFmtId="173" fontId="21" fillId="0" borderId="1" xfId="0" applyNumberFormat="1" applyFont="1" applyBorder="1" applyAlignment="1">
      <alignment horizontal="center"/>
    </xf>
    <xf numFmtId="0" fontId="53" fillId="3" borderId="1" xfId="0" applyFont="1" applyFill="1" applyBorder="1"/>
    <xf numFmtId="0" fontId="51" fillId="3" borderId="1" xfId="0" applyFont="1" applyFill="1" applyBorder="1"/>
    <xf numFmtId="173" fontId="20" fillId="3" borderId="1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wrapText="1"/>
    </xf>
    <xf numFmtId="173" fontId="21" fillId="0" borderId="1" xfId="0" applyNumberFormat="1" applyFont="1" applyFill="1" applyBorder="1" applyAlignment="1">
      <alignment horizontal="center"/>
    </xf>
    <xf numFmtId="167" fontId="45" fillId="0" borderId="1" xfId="0" applyNumberFormat="1" applyFont="1" applyBorder="1" applyAlignment="1">
      <alignment horizontal="center" vertical="center" wrapText="1"/>
    </xf>
    <xf numFmtId="0" fontId="55" fillId="0" borderId="0" xfId="0" applyFont="1"/>
    <xf numFmtId="170" fontId="24" fillId="0" borderId="0" xfId="0" applyNumberFormat="1" applyFont="1"/>
    <xf numFmtId="170" fontId="24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6" fillId="2" borderId="16" xfId="0" applyFont="1" applyFill="1" applyBorder="1" applyAlignment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3" xfId="0" applyFont="1" applyFill="1" applyBorder="1"/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/>
    <xf numFmtId="3" fontId="25" fillId="0" borderId="0" xfId="0" applyNumberFormat="1" applyFont="1" applyBorder="1"/>
    <xf numFmtId="0" fontId="28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/>
    </xf>
    <xf numFmtId="0" fontId="53" fillId="5" borderId="1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wrapText="1"/>
    </xf>
    <xf numFmtId="3" fontId="25" fillId="0" borderId="1" xfId="2" applyNumberFormat="1" applyFont="1" applyBorder="1"/>
    <xf numFmtId="3" fontId="25" fillId="0" borderId="19" xfId="0" applyNumberFormat="1" applyFont="1" applyBorder="1"/>
    <xf numFmtId="3" fontId="25" fillId="0" borderId="13" xfId="0" applyNumberFormat="1" applyFont="1" applyBorder="1"/>
    <xf numFmtId="3" fontId="25" fillId="0" borderId="23" xfId="0" applyNumberFormat="1" applyFont="1" applyBorder="1"/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3" fontId="58" fillId="4" borderId="17" xfId="0" applyNumberFormat="1" applyFont="1" applyFill="1" applyBorder="1" applyAlignment="1" applyProtection="1">
      <protection locked="0"/>
    </xf>
    <xf numFmtId="0" fontId="53" fillId="6" borderId="1" xfId="0" applyFont="1" applyFill="1" applyBorder="1"/>
    <xf numFmtId="0" fontId="31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</xf>
    <xf numFmtId="3" fontId="20" fillId="0" borderId="13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точки безубыточности</a:t>
            </a:r>
          </a:p>
        </c:rich>
      </c:tx>
      <c:layout>
        <c:manualLayout>
          <c:xMode val="edge"/>
          <c:yMode val="edge"/>
          <c:x val="0.32926871945884811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53679515052713"/>
          <c:y val="0.19484267947858766"/>
          <c:w val="0.6924128403582851"/>
          <c:h val="0.5959893725227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'9.Точка безубыточности'!$A$10</c:f>
              <c:strCache>
                <c:ptCount val="1"/>
                <c:pt idx="0">
                  <c:v>Валовый доход/Убыток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'9.Точка безубыточности'!$F$7:$N$7</c:f>
              <c:strCache>
                <c:ptCount val="9"/>
                <c:pt idx="0">
                  <c:v>2-й год</c:v>
                </c:pt>
                <c:pt idx="1">
                  <c:v>3-й год</c:v>
                </c:pt>
                <c:pt idx="2">
                  <c:v>4-й год</c:v>
                </c:pt>
                <c:pt idx="3">
                  <c:v>5-й год</c:v>
                </c:pt>
                <c:pt idx="4">
                  <c:v>6-й год</c:v>
                </c:pt>
                <c:pt idx="5">
                  <c:v>7-й год</c:v>
                </c:pt>
                <c:pt idx="6">
                  <c:v>8-й год</c:v>
                </c:pt>
                <c:pt idx="7">
                  <c:v>9-й год</c:v>
                </c:pt>
                <c:pt idx="8">
                  <c:v>10-й год</c:v>
                </c:pt>
              </c:strCache>
            </c:strRef>
          </c:cat>
          <c:val>
            <c:numRef>
              <c:f>'9.Точка безубыточности'!$F$10:$N$10</c:f>
              <c:numCache>
                <c:formatCode>_(* #\ ##0_);_(* \(#\ ##0\);_(* "-"??_);_(@_)</c:formatCode>
                <c:ptCount val="9"/>
                <c:pt idx="0">
                  <c:v>242990000</c:v>
                </c:pt>
                <c:pt idx="1">
                  <c:v>259999300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E-DA4C-88F0-AAA878446321}"/>
            </c:ext>
          </c:extLst>
        </c:ser>
        <c:ser>
          <c:idx val="2"/>
          <c:order val="1"/>
          <c:tx>
            <c:strRef>
              <c:f>'9.Точка безубыточности'!$A$11</c:f>
              <c:strCache>
                <c:ptCount val="1"/>
                <c:pt idx="0">
                  <c:v>Операционные расходы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'9.Точка безубыточности'!$F$7:$N$7</c:f>
              <c:strCache>
                <c:ptCount val="9"/>
                <c:pt idx="0">
                  <c:v>2-й год</c:v>
                </c:pt>
                <c:pt idx="1">
                  <c:v>3-й год</c:v>
                </c:pt>
                <c:pt idx="2">
                  <c:v>4-й год</c:v>
                </c:pt>
                <c:pt idx="3">
                  <c:v>5-й год</c:v>
                </c:pt>
                <c:pt idx="4">
                  <c:v>6-й год</c:v>
                </c:pt>
                <c:pt idx="5">
                  <c:v>7-й год</c:v>
                </c:pt>
                <c:pt idx="6">
                  <c:v>8-й год</c:v>
                </c:pt>
                <c:pt idx="7">
                  <c:v>9-й год</c:v>
                </c:pt>
                <c:pt idx="8">
                  <c:v>10-й год</c:v>
                </c:pt>
              </c:strCache>
            </c:strRef>
          </c:cat>
          <c:val>
            <c:numRef>
              <c:f>'9.Точка безубыточности'!$F$11:$N$11</c:f>
              <c:numCache>
                <c:formatCode>_(* #\ ##0_);_(* \(#\ ##0\);_(* "-"??_);_(@_)</c:formatCode>
                <c:ptCount val="9"/>
                <c:pt idx="0">
                  <c:v>112391200</c:v>
                </c:pt>
                <c:pt idx="1">
                  <c:v>115259024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E-DA4C-88F0-AAA878446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12607"/>
        <c:axId val="1"/>
      </c:barChart>
      <c:lineChart>
        <c:grouping val="standard"/>
        <c:varyColors val="0"/>
        <c:ser>
          <c:idx val="1"/>
          <c:order val="2"/>
          <c:tx>
            <c:strRef>
              <c:f>'9.Точка безубыточности'!$A$13</c:f>
              <c:strCache>
                <c:ptCount val="1"/>
                <c:pt idx="0">
                  <c:v>Точка безубыточности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'9.Точка безубыточности'!$F$7:$N$7</c:f>
              <c:strCache>
                <c:ptCount val="9"/>
                <c:pt idx="0">
                  <c:v>2-й год</c:v>
                </c:pt>
                <c:pt idx="1">
                  <c:v>3-й год</c:v>
                </c:pt>
                <c:pt idx="2">
                  <c:v>4-й год</c:v>
                </c:pt>
                <c:pt idx="3">
                  <c:v>5-й год</c:v>
                </c:pt>
                <c:pt idx="4">
                  <c:v>6-й год</c:v>
                </c:pt>
                <c:pt idx="5">
                  <c:v>7-й год</c:v>
                </c:pt>
                <c:pt idx="6">
                  <c:v>8-й год</c:v>
                </c:pt>
                <c:pt idx="7">
                  <c:v>9-й год</c:v>
                </c:pt>
                <c:pt idx="8">
                  <c:v>10-й год</c:v>
                </c:pt>
              </c:strCache>
            </c:strRef>
          </c:cat>
          <c:val>
            <c:numRef>
              <c:f>'9.Точка безубыточности'!$F$13:$N$13</c:f>
              <c:numCache>
                <c:formatCode>_(* #\ ##0_);_(* \(#\ ##0\);_(* "-"??_);_(@_)</c:formatCode>
                <c:ptCount val="9"/>
                <c:pt idx="0">
                  <c:v>106100899.64216471</c:v>
                </c:pt>
                <c:pt idx="1">
                  <c:v>106215849.33179718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CE-DA4C-88F0-AAA878446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79126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Валовый Доход</a:t>
                </a:r>
              </a:p>
            </c:rich>
          </c:tx>
          <c:layout>
            <c:manualLayout>
              <c:xMode val="edge"/>
              <c:yMode val="edge"/>
              <c:x val="2.1680216802168022E-2"/>
              <c:y val="0.338109484165482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\ ##0_);_(* \(#\ 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247912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Точка Безубыточности</a:t>
                </a:r>
              </a:p>
            </c:rich>
          </c:tx>
          <c:layout>
            <c:manualLayout>
              <c:xMode val="edge"/>
              <c:yMode val="edge"/>
              <c:x val="0.94851076542261481"/>
              <c:y val="0.2693412750340304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\ ##0_);_(* \(#\ 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gradFill rotWithShape="0">
          <a:gsLst>
            <a:gs pos="0">
              <a:srgbClr val="00FFFF">
                <a:gamma/>
                <a:shade val="46275"/>
                <a:invGamma/>
              </a:srgbClr>
            </a:gs>
            <a:gs pos="50000">
              <a:srgbClr val="00FFFF"/>
            </a:gs>
            <a:gs pos="100000">
              <a:srgbClr val="00FF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00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12565695159441"/>
          <c:y val="0.91356417741467033"/>
          <c:w val="0.63251176642024887"/>
          <c:h val="6.7671420549234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16</xdr:row>
      <xdr:rowOff>25400</xdr:rowOff>
    </xdr:from>
    <xdr:to>
      <xdr:col>9</xdr:col>
      <xdr:colOff>342900</xdr:colOff>
      <xdr:row>36</xdr:row>
      <xdr:rowOff>101600</xdr:rowOff>
    </xdr:to>
    <xdr:graphicFrame macro="">
      <xdr:nvGraphicFramePr>
        <xdr:cNvPr id="1353" name="Chart 1">
          <a:extLst>
            <a:ext uri="{FF2B5EF4-FFF2-40B4-BE49-F238E27FC236}">
              <a16:creationId xmlns:a16="http://schemas.microsoft.com/office/drawing/2014/main" id="{48D48CE8-FC5E-5746-B302-1323EC2BA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s%20and%20Settings/1/&#1052;&#1086;&#1080;%20&#1076;&#1086;&#1082;&#1091;&#1084;&#1077;&#1085;&#1090;&#1099;/&#1050;&#1083;&#1080;&#1077;&#1085;&#1090;&#1099;/&#1041;&#1072;&#1090;&#1099;&#1088;%20&#1040;&#1075;&#1088;&#1086;&#1082;&#1077;&#1084;&#1080;&#1082;&#1072;&#1083;&#1079;-&#1087;&#1077;&#1089;&#1090;&#1080;&#1094;&#1080;&#1076;&#1099;/&#1041;&#1080;&#1079;&#1085;&#1077;&#1089;%20&#1087;&#1083;&#1072;&#1085;%20&#1041;&#1072;&#1090;&#1099;&#1088;/Invest_project_1_8%20&#8470;%20&#1041;&#1040;&#1058;&#1067;&#1056;%20&#1055;&#1045;&#1057;&#1057;&#1048;&#1052;&#1048;&#1057;&#1058;&#1048;&#1063;&#1053;&#1067;&#104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Report"/>
      <sheetName val="Data-in"/>
      <sheetName val="Balance"/>
      <sheetName val="Results"/>
      <sheetName val="Sensivity"/>
      <sheetName val="Kredit"/>
      <sheetName val="NPV"/>
      <sheetName val="Break-even"/>
      <sheetName val="Liquidity"/>
      <sheetName val="Profitability"/>
      <sheetName val="Activity"/>
      <sheetName val="Assets"/>
      <sheetName val="Sens"/>
      <sheetName val="esn"/>
    </sheetNames>
    <sheetDataSet>
      <sheetData sheetId="0"/>
      <sheetData sheetId="1"/>
      <sheetData sheetId="2" refreshError="1">
        <row r="1381">
          <cell r="B1381">
            <v>360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3"/>
  <sheetViews>
    <sheetView workbookViewId="0">
      <selection activeCell="A16" sqref="A16"/>
    </sheetView>
  </sheetViews>
  <sheetFormatPr baseColWidth="10" defaultColWidth="9.1640625" defaultRowHeight="14"/>
  <cols>
    <col min="1" max="1" width="44.6640625" style="108" customWidth="1"/>
    <col min="2" max="2" width="31" style="108" customWidth="1"/>
    <col min="3" max="16384" width="9.1640625" style="108"/>
  </cols>
  <sheetData>
    <row r="1" spans="1:2">
      <c r="A1" s="260" t="s">
        <v>162</v>
      </c>
      <c r="B1" s="260"/>
    </row>
    <row r="2" spans="1:2">
      <c r="A2" s="110"/>
    </row>
    <row r="3" spans="1:2" ht="15">
      <c r="A3" s="112" t="s">
        <v>160</v>
      </c>
      <c r="B3" s="112" t="s">
        <v>161</v>
      </c>
    </row>
    <row r="4" spans="1:2" ht="15">
      <c r="A4" s="109" t="str">
        <f>'1.График (гориз)'!B3</f>
        <v xml:space="preserve">График погашения кредитных средств по месяцам </v>
      </c>
      <c r="B4" s="189" t="s">
        <v>146</v>
      </c>
    </row>
    <row r="5" spans="1:2" ht="15">
      <c r="A5" s="109" t="str">
        <f>'2.Персонал'!A3</f>
        <v>Штатное расписание</v>
      </c>
      <c r="B5" s="189" t="s">
        <v>147</v>
      </c>
    </row>
    <row r="6" spans="1:2" ht="15">
      <c r="A6" s="109" t="str">
        <f>'3.Выручка'!A3</f>
        <v>Расчет доходной части проекта</v>
      </c>
      <c r="B6" s="189" t="s">
        <v>148</v>
      </c>
    </row>
    <row r="7" spans="1:2" ht="15">
      <c r="A7" s="109" t="str">
        <f>'4.Себестоимость'!A3</f>
        <v>Себестоимость предоставляемых услуг</v>
      </c>
      <c r="B7" s="189" t="s">
        <v>149</v>
      </c>
    </row>
    <row r="8" spans="1:2" ht="15">
      <c r="A8" s="109" t="str">
        <f>'5.Затраты'!A3</f>
        <v>Текущие затраты</v>
      </c>
      <c r="B8" s="189" t="s">
        <v>152</v>
      </c>
    </row>
    <row r="9" spans="1:2" ht="15" hidden="1">
      <c r="A9" s="109" t="e">
        <f>#REF!</f>
        <v>#REF!</v>
      </c>
      <c r="B9" s="189" t="s">
        <v>153</v>
      </c>
    </row>
    <row r="10" spans="1:2" ht="15">
      <c r="A10" s="109" t="str">
        <f>'6.ОПУ'!A3</f>
        <v>Отчет о прибылях  убытках, в тенге</v>
      </c>
      <c r="B10" s="189" t="s">
        <v>154</v>
      </c>
    </row>
    <row r="11" spans="1:2" ht="15">
      <c r="A11" s="109" t="str">
        <f>'7.CF'!A3</f>
        <v>Прогноз отчета о движении денежных средств</v>
      </c>
      <c r="B11" s="189" t="s">
        <v>157</v>
      </c>
    </row>
    <row r="12" spans="1:2" ht="15">
      <c r="A12" s="109" t="str">
        <f>'8.Эффективность'!A3</f>
        <v>Экономическая эффективность проекта</v>
      </c>
      <c r="B12" s="189" t="s">
        <v>158</v>
      </c>
    </row>
    <row r="13" spans="1:2" ht="15">
      <c r="A13" s="109" t="str">
        <f>'9.Точка безубыточности'!A3</f>
        <v>Расчет точки безубыточности</v>
      </c>
      <c r="B13" s="189" t="s">
        <v>159</v>
      </c>
    </row>
  </sheetData>
  <mergeCells count="1">
    <mergeCell ref="A1:B1"/>
  </mergeCells>
  <phoneticPr fontId="29" type="noConversion"/>
  <hyperlinks>
    <hyperlink ref="B4" location="'1.График (гориз)'!A1" display="'1.График (гориз)'!A1" xr:uid="{00000000-0004-0000-0000-000000000000}"/>
    <hyperlink ref="B5" location="'2.Персонал'!A1" display="'2.Персонал'!A1" xr:uid="{00000000-0004-0000-0000-000001000000}"/>
    <hyperlink ref="B6" location="'3.Выручка'!A1" display="'3.Выручка'!A1" xr:uid="{00000000-0004-0000-0000-000002000000}"/>
    <hyperlink ref="B7" location="'4.Себестоимость'!A1" display="'4.Себестоимость'!A1" xr:uid="{00000000-0004-0000-0000-000003000000}"/>
    <hyperlink ref="B8" location="'5.Затраты'!A1" display="'5.Затраты'!A1" xr:uid="{00000000-0004-0000-0000-000004000000}"/>
    <hyperlink ref="B9" location="'6.Амортизация'!A1" display="'6.Амортизация'!A1" xr:uid="{00000000-0004-0000-0000-000005000000}"/>
    <hyperlink ref="B10" location="'7.ОПУ'!A1" display="'7.ОПУ'!A1" xr:uid="{00000000-0004-0000-0000-000006000000}"/>
    <hyperlink ref="B11" location="'8.CF'!A1" display="'8.CF'!A1" xr:uid="{00000000-0004-0000-0000-000007000000}"/>
    <hyperlink ref="B12" location="'9.Эффективность'!A1" display="'9.Эффективность'!A1" xr:uid="{00000000-0004-0000-0000-000008000000}"/>
    <hyperlink ref="B13" location="'10.ТОЧКА БЕЗУБЫТОЧНОСТИ'!A1" display="'10.ТОЧКА БЕЗУБЫТОЧНОСТИ'!A1" xr:uid="{00000000-0004-0000-0000-000009000000}"/>
  </hyperlinks>
  <pageMargins left="0.75" right="0.75" top="1" bottom="1" header="0.5" footer="0.5"/>
  <pageSetup paperSize="9" orientation="portrait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93"/>
  <sheetViews>
    <sheetView zoomScale="75" zoomScaleNormal="100" workbookViewId="0">
      <selection activeCell="D63" sqref="D63"/>
    </sheetView>
  </sheetViews>
  <sheetFormatPr baseColWidth="10" defaultColWidth="9.1640625" defaultRowHeight="16"/>
  <cols>
    <col min="1" max="1" width="9.1640625" style="92"/>
    <col min="2" max="2" width="15.83203125" style="92" customWidth="1"/>
    <col min="3" max="3" width="15.6640625" style="92" customWidth="1"/>
    <col min="4" max="4" width="16.83203125" style="92" customWidth="1"/>
    <col min="5" max="5" width="15" style="92" bestFit="1" customWidth="1"/>
    <col min="6" max="7" width="11.1640625" style="92" bestFit="1" customWidth="1"/>
    <col min="8" max="11" width="13.5" style="92" bestFit="1" customWidth="1"/>
    <col min="12" max="12" width="11.6640625" style="92" bestFit="1" customWidth="1"/>
    <col min="13" max="16384" width="9.1640625" style="92"/>
  </cols>
  <sheetData>
    <row r="1" spans="1:12">
      <c r="A1" s="91"/>
    </row>
    <row r="2" spans="1:12" ht="10.5" customHeight="1"/>
    <row r="3" spans="1:12">
      <c r="A3" s="93" t="s">
        <v>25</v>
      </c>
    </row>
    <row r="4" spans="1:12" ht="10.5" customHeight="1"/>
    <row r="5" spans="1:12">
      <c r="A5" s="159" t="s">
        <v>26</v>
      </c>
    </row>
    <row r="6" spans="1:12" ht="9.75" customHeight="1"/>
    <row r="7" spans="1:12">
      <c r="A7" s="92" t="s">
        <v>215</v>
      </c>
    </row>
    <row r="8" spans="1:12" ht="9.75" customHeight="1"/>
    <row r="9" spans="1:12">
      <c r="A9" s="268" t="s">
        <v>122</v>
      </c>
      <c r="B9" s="268"/>
      <c r="C9" s="268"/>
      <c r="D9" s="268"/>
      <c r="E9" s="92">
        <v>0.12</v>
      </c>
    </row>
    <row r="10" spans="1:12">
      <c r="B10" s="160" t="s">
        <v>27</v>
      </c>
      <c r="C10" s="160" t="s">
        <v>28</v>
      </c>
      <c r="D10" s="160" t="s">
        <v>29</v>
      </c>
      <c r="E10" s="160" t="s">
        <v>30</v>
      </c>
      <c r="F10" s="160" t="s">
        <v>31</v>
      </c>
      <c r="G10" s="160" t="s">
        <v>32</v>
      </c>
      <c r="H10" s="160" t="s">
        <v>118</v>
      </c>
      <c r="I10" s="160" t="s">
        <v>120</v>
      </c>
      <c r="J10" s="160" t="s">
        <v>140</v>
      </c>
      <c r="K10" s="160" t="s">
        <v>141</v>
      </c>
      <c r="L10" s="160" t="s">
        <v>142</v>
      </c>
    </row>
    <row r="11" spans="1:12" ht="18">
      <c r="B11" s="115" t="s">
        <v>168</v>
      </c>
      <c r="C11" s="161">
        <f>1/((1+E9)^1)</f>
        <v>0.89285714285714279</v>
      </c>
      <c r="D11" s="161">
        <f>1/((1+E9)^2)</f>
        <v>0.79719387755102034</v>
      </c>
      <c r="E11" s="161">
        <f>1/((1+E9)^3)</f>
        <v>0.71178024781341087</v>
      </c>
      <c r="F11" s="161">
        <f>1/((1+E9)^4)</f>
        <v>0.63551807840483121</v>
      </c>
      <c r="G11" s="161">
        <f>1/((1+E9)^5)</f>
        <v>0.56742685571859919</v>
      </c>
      <c r="H11" s="161">
        <f>1/((1+E9)^6)</f>
        <v>0.50663112117732068</v>
      </c>
      <c r="I11" s="161">
        <f>1/((1+E9)^7)</f>
        <v>0.45234921533689343</v>
      </c>
      <c r="J11" s="161">
        <f>1/((1+E9)^8)</f>
        <v>0.4038832279793691</v>
      </c>
      <c r="K11" s="161">
        <f>1/((1+E9)^9)</f>
        <v>0.36061002498157957</v>
      </c>
      <c r="L11" s="161">
        <f>1/((1+E9)^10)</f>
        <v>0.32197323659069599</v>
      </c>
    </row>
    <row r="13" spans="1:12">
      <c r="A13" s="92" t="s">
        <v>33</v>
      </c>
    </row>
    <row r="14" spans="1:12" s="162" customFormat="1" ht="49.5" customHeight="1">
      <c r="B14" s="163" t="s">
        <v>5</v>
      </c>
      <c r="C14" s="163" t="s">
        <v>34</v>
      </c>
      <c r="D14" s="163" t="s">
        <v>35</v>
      </c>
      <c r="E14" s="164" t="s">
        <v>36</v>
      </c>
    </row>
    <row r="15" spans="1:12">
      <c r="B15" s="115" t="s">
        <v>37</v>
      </c>
      <c r="C15" s="99">
        <f>'7.CF'!B31+'7.CF'!C31</f>
        <v>0</v>
      </c>
      <c r="D15" s="115">
        <v>1</v>
      </c>
      <c r="E15" s="101">
        <f t="shared" ref="E15:E25" si="0">C15*D15</f>
        <v>0</v>
      </c>
    </row>
    <row r="16" spans="1:12">
      <c r="B16" s="115" t="s">
        <v>28</v>
      </c>
      <c r="C16" s="101">
        <f>'6.ОПУ'!N31</f>
        <v>34767720</v>
      </c>
      <c r="D16" s="165">
        <f>C11</f>
        <v>0.89285714285714279</v>
      </c>
      <c r="E16" s="101">
        <f>C16*D16</f>
        <v>31042607.142857142</v>
      </c>
    </row>
    <row r="17" spans="1:13">
      <c r="B17" s="115" t="s">
        <v>29</v>
      </c>
      <c r="C17" s="101">
        <f>'6.ОПУ'!O31</f>
        <v>104479040</v>
      </c>
      <c r="D17" s="165">
        <f>D11</f>
        <v>0.79719387755102034</v>
      </c>
      <c r="E17" s="101">
        <f t="shared" si="0"/>
        <v>83290051.020408154</v>
      </c>
    </row>
    <row r="18" spans="1:13">
      <c r="B18" s="115" t="s">
        <v>30</v>
      </c>
      <c r="C18" s="101">
        <f>'6.ОПУ'!P31</f>
        <v>115792220.8</v>
      </c>
      <c r="D18" s="165">
        <f>E11</f>
        <v>0.71178024781341087</v>
      </c>
      <c r="E18" s="101">
        <f t="shared" si="0"/>
        <v>82418615.615889192</v>
      </c>
    </row>
    <row r="19" spans="1:13">
      <c r="B19" s="115" t="s">
        <v>31</v>
      </c>
      <c r="C19" s="101">
        <f>'6.ОПУ'!Q31</f>
        <v>0</v>
      </c>
      <c r="D19" s="165">
        <f>F11</f>
        <v>0.63551807840483121</v>
      </c>
      <c r="E19" s="101">
        <f t="shared" si="0"/>
        <v>0</v>
      </c>
      <c r="F19" s="94"/>
      <c r="G19" s="94"/>
      <c r="I19" s="92">
        <f>6.2*0.3</f>
        <v>1.8599999999999999</v>
      </c>
    </row>
    <row r="20" spans="1:13">
      <c r="B20" s="115" t="s">
        <v>32</v>
      </c>
      <c r="C20" s="101">
        <f>'6.ОПУ'!R31</f>
        <v>0</v>
      </c>
      <c r="D20" s="165">
        <f>G11</f>
        <v>0.56742685571859919</v>
      </c>
      <c r="E20" s="101">
        <f t="shared" si="0"/>
        <v>0</v>
      </c>
      <c r="I20" s="92">
        <f>I19-6.2</f>
        <v>-4.34</v>
      </c>
    </row>
    <row r="21" spans="1:13">
      <c r="B21" s="115" t="s">
        <v>118</v>
      </c>
      <c r="C21" s="101">
        <f>'6.ОПУ'!S31</f>
        <v>0</v>
      </c>
      <c r="D21" s="165">
        <f>H11</f>
        <v>0.50663112117732068</v>
      </c>
      <c r="E21" s="101">
        <f t="shared" si="0"/>
        <v>0</v>
      </c>
    </row>
    <row r="22" spans="1:13">
      <c r="B22" s="115" t="s">
        <v>120</v>
      </c>
      <c r="C22" s="101">
        <f>'6.ОПУ'!T31</f>
        <v>0</v>
      </c>
      <c r="D22" s="165">
        <f>I11</f>
        <v>0.45234921533689343</v>
      </c>
      <c r="E22" s="101">
        <f t="shared" si="0"/>
        <v>0</v>
      </c>
    </row>
    <row r="23" spans="1:13">
      <c r="B23" s="115" t="s">
        <v>140</v>
      </c>
      <c r="C23" s="101">
        <f>'6.ОПУ'!U31</f>
        <v>0</v>
      </c>
      <c r="D23" s="165">
        <f>J11</f>
        <v>0.4038832279793691</v>
      </c>
      <c r="E23" s="101">
        <f t="shared" si="0"/>
        <v>0</v>
      </c>
    </row>
    <row r="24" spans="1:13">
      <c r="B24" s="115" t="s">
        <v>141</v>
      </c>
      <c r="C24" s="101">
        <f>'6.ОПУ'!V31</f>
        <v>0</v>
      </c>
      <c r="D24" s="165">
        <f>K11</f>
        <v>0.36061002498157957</v>
      </c>
      <c r="E24" s="101">
        <f t="shared" si="0"/>
        <v>0</v>
      </c>
    </row>
    <row r="25" spans="1:13">
      <c r="B25" s="115" t="s">
        <v>142</v>
      </c>
      <c r="C25" s="101">
        <f>'6.ОПУ'!W31</f>
        <v>0</v>
      </c>
      <c r="D25" s="165">
        <f>L11</f>
        <v>0.32197323659069599</v>
      </c>
      <c r="E25" s="101">
        <f t="shared" si="0"/>
        <v>0</v>
      </c>
    </row>
    <row r="26" spans="1:13">
      <c r="B26" s="103" t="s">
        <v>36</v>
      </c>
      <c r="C26" s="99">
        <f>SUM(C16:C25)</f>
        <v>255038980.80000001</v>
      </c>
      <c r="D26" s="99"/>
      <c r="E26" s="99">
        <f>SUM(E15:E25)</f>
        <v>196751273.77915448</v>
      </c>
    </row>
    <row r="27" spans="1:13">
      <c r="B27" s="113"/>
      <c r="C27" s="243">
        <f>SUM(C16:C23)</f>
        <v>255038980.80000001</v>
      </c>
      <c r="D27" s="113"/>
      <c r="E27" s="166"/>
    </row>
    <row r="28" spans="1:13">
      <c r="A28" s="159" t="s">
        <v>38</v>
      </c>
      <c r="E28" s="95"/>
    </row>
    <row r="29" spans="1:13">
      <c r="A29" s="159"/>
    </row>
    <row r="30" spans="1:13">
      <c r="B30" s="92" t="s">
        <v>39</v>
      </c>
    </row>
    <row r="31" spans="1:13">
      <c r="D31" s="167" t="s">
        <v>40</v>
      </c>
      <c r="E31" s="92">
        <v>0.9</v>
      </c>
      <c r="I31" s="167" t="s">
        <v>41</v>
      </c>
      <c r="J31" s="92">
        <v>1</v>
      </c>
    </row>
    <row r="32" spans="1:13">
      <c r="A32" s="160" t="s">
        <v>27</v>
      </c>
      <c r="B32" s="160" t="s">
        <v>28</v>
      </c>
      <c r="C32" s="160" t="s">
        <v>29</v>
      </c>
      <c r="D32" s="160" t="s">
        <v>30</v>
      </c>
      <c r="E32" s="160" t="s">
        <v>31</v>
      </c>
      <c r="I32" s="160" t="s">
        <v>27</v>
      </c>
      <c r="J32" s="160" t="s">
        <v>28</v>
      </c>
      <c r="K32" s="160" t="s">
        <v>29</v>
      </c>
      <c r="L32" s="160" t="s">
        <v>30</v>
      </c>
      <c r="M32" s="160" t="s">
        <v>31</v>
      </c>
    </row>
    <row r="33" spans="1:15" ht="18">
      <c r="A33" s="115" t="s">
        <v>168</v>
      </c>
      <c r="B33" s="161">
        <f>1/((1+E31)^1)</f>
        <v>0.52631578947368418</v>
      </c>
      <c r="C33" s="161">
        <f>1/((1+E31)^2)</f>
        <v>0.2770083102493075</v>
      </c>
      <c r="D33" s="161">
        <f>1/((1+E31)^3)</f>
        <v>0.14579384749963553</v>
      </c>
      <c r="E33" s="161">
        <f>1/((1+E31)^4)</f>
        <v>7.6733603947176585E-2</v>
      </c>
      <c r="F33" s="168"/>
      <c r="G33" s="168"/>
      <c r="I33" s="115" t="s">
        <v>168</v>
      </c>
      <c r="J33" s="161">
        <f>1/((1+J31)^1)</f>
        <v>0.5</v>
      </c>
      <c r="K33" s="161">
        <f>1/((1+J31)^2)</f>
        <v>0.25</v>
      </c>
      <c r="L33" s="161">
        <f>1/((1+J31)^3)</f>
        <v>0.125</v>
      </c>
      <c r="M33" s="161">
        <f>1/((1+J31)^4)</f>
        <v>6.25E-2</v>
      </c>
    </row>
    <row r="34" spans="1:15">
      <c r="A34" s="160" t="s">
        <v>32</v>
      </c>
      <c r="B34" s="160" t="s">
        <v>118</v>
      </c>
      <c r="C34" s="160" t="s">
        <v>120</v>
      </c>
      <c r="D34" s="160" t="s">
        <v>140</v>
      </c>
      <c r="E34" s="160" t="s">
        <v>141</v>
      </c>
      <c r="F34" s="160" t="s">
        <v>142</v>
      </c>
      <c r="G34" s="168"/>
      <c r="H34" s="160" t="s">
        <v>32</v>
      </c>
      <c r="I34" s="160" t="s">
        <v>118</v>
      </c>
      <c r="J34" s="160" t="s">
        <v>120</v>
      </c>
      <c r="K34" s="160" t="s">
        <v>140</v>
      </c>
      <c r="L34" s="160" t="s">
        <v>141</v>
      </c>
      <c r="M34" s="160" t="s">
        <v>142</v>
      </c>
      <c r="N34" s="168"/>
      <c r="O34" s="168"/>
    </row>
    <row r="35" spans="1:15">
      <c r="A35" s="161">
        <f>1/((1+E31)^5)</f>
        <v>4.0386107340619259E-2</v>
      </c>
      <c r="B35" s="161">
        <f>1/((1+E31)^6)</f>
        <v>2.1255845968746981E-2</v>
      </c>
      <c r="C35" s="161">
        <f>1/((1+E31)^7)</f>
        <v>1.1187287351972094E-2</v>
      </c>
      <c r="D35" s="161">
        <f>1/((1+E31)^8)</f>
        <v>5.8880459747221543E-3</v>
      </c>
      <c r="E35" s="161">
        <f>1/((1+E31)^9)</f>
        <v>3.0989715656432396E-3</v>
      </c>
      <c r="F35" s="161">
        <f>1/((1+E31)^10)</f>
        <v>1.6310376661280207E-3</v>
      </c>
      <c r="G35" s="168"/>
      <c r="H35" s="161">
        <f>1/((1+J31)^5)</f>
        <v>3.125E-2</v>
      </c>
      <c r="I35" s="161">
        <f>1/((1+J31)^6)</f>
        <v>1.5625E-2</v>
      </c>
      <c r="J35" s="161">
        <f>1/((1+J31)^7)</f>
        <v>7.8125E-3</v>
      </c>
      <c r="K35" s="161">
        <f>1/((1+J31)^8)</f>
        <v>3.90625E-3</v>
      </c>
      <c r="L35" s="161">
        <f>1/((1+J31)^9)</f>
        <v>1.953125E-3</v>
      </c>
      <c r="M35" s="161">
        <f>1/((1+J31)^10)</f>
        <v>9.765625E-4</v>
      </c>
      <c r="N35" s="168"/>
      <c r="O35" s="168"/>
    </row>
    <row r="38" spans="1:15" ht="51">
      <c r="B38" s="163" t="s">
        <v>5</v>
      </c>
      <c r="C38" s="163" t="s">
        <v>34</v>
      </c>
      <c r="D38" s="163" t="s">
        <v>35</v>
      </c>
      <c r="E38" s="164" t="s">
        <v>36</v>
      </c>
      <c r="G38" s="163" t="s">
        <v>5</v>
      </c>
      <c r="H38" s="163" t="s">
        <v>34</v>
      </c>
      <c r="I38" s="163" t="s">
        <v>35</v>
      </c>
      <c r="J38" s="164" t="s">
        <v>36</v>
      </c>
    </row>
    <row r="39" spans="1:15">
      <c r="B39" s="115" t="s">
        <v>37</v>
      </c>
      <c r="C39" s="101">
        <f>C15</f>
        <v>0</v>
      </c>
      <c r="D39" s="115">
        <v>1</v>
      </c>
      <c r="E39" s="101">
        <f t="shared" ref="E39:E49" si="1">C39*D39</f>
        <v>0</v>
      </c>
      <c r="G39" s="115" t="s">
        <v>37</v>
      </c>
      <c r="H39" s="101">
        <f t="shared" ref="H39:H45" si="2">C15</f>
        <v>0</v>
      </c>
      <c r="I39" s="115">
        <v>1</v>
      </c>
      <c r="J39" s="101">
        <f t="shared" ref="J39:J49" si="3">H39*I39</f>
        <v>0</v>
      </c>
    </row>
    <row r="40" spans="1:15">
      <c r="B40" s="115" t="s">
        <v>28</v>
      </c>
      <c r="C40" s="101">
        <f t="shared" ref="C40:C49" si="4">C16</f>
        <v>34767720</v>
      </c>
      <c r="D40" s="161">
        <f>B33</f>
        <v>0.52631578947368418</v>
      </c>
      <c r="E40" s="101">
        <f>C40*D40</f>
        <v>18298800</v>
      </c>
      <c r="G40" s="115" t="s">
        <v>28</v>
      </c>
      <c r="H40" s="101">
        <f t="shared" si="2"/>
        <v>34767720</v>
      </c>
      <c r="I40" s="161">
        <f>J33</f>
        <v>0.5</v>
      </c>
      <c r="J40" s="101">
        <f t="shared" si="3"/>
        <v>17383860</v>
      </c>
    </row>
    <row r="41" spans="1:15">
      <c r="B41" s="115" t="s">
        <v>29</v>
      </c>
      <c r="C41" s="101">
        <f t="shared" si="4"/>
        <v>104479040</v>
      </c>
      <c r="D41" s="161">
        <f>C33</f>
        <v>0.2770083102493075</v>
      </c>
      <c r="E41" s="101">
        <f t="shared" si="1"/>
        <v>28941562.326869808</v>
      </c>
      <c r="G41" s="115" t="s">
        <v>29</v>
      </c>
      <c r="H41" s="101">
        <f t="shared" si="2"/>
        <v>104479040</v>
      </c>
      <c r="I41" s="161">
        <f>K33</f>
        <v>0.25</v>
      </c>
      <c r="J41" s="101">
        <f t="shared" si="3"/>
        <v>26119760</v>
      </c>
    </row>
    <row r="42" spans="1:15">
      <c r="B42" s="115" t="s">
        <v>30</v>
      </c>
      <c r="C42" s="101">
        <f t="shared" si="4"/>
        <v>115792220.8</v>
      </c>
      <c r="D42" s="161">
        <f>D33</f>
        <v>0.14579384749963553</v>
      </c>
      <c r="E42" s="101">
        <f t="shared" si="1"/>
        <v>16881793.380959325</v>
      </c>
      <c r="G42" s="115" t="s">
        <v>30</v>
      </c>
      <c r="H42" s="101">
        <f t="shared" si="2"/>
        <v>115792220.8</v>
      </c>
      <c r="I42" s="161">
        <f>L33</f>
        <v>0.125</v>
      </c>
      <c r="J42" s="101">
        <f t="shared" si="3"/>
        <v>14474027.6</v>
      </c>
    </row>
    <row r="43" spans="1:15">
      <c r="B43" s="115" t="s">
        <v>31</v>
      </c>
      <c r="C43" s="101">
        <f t="shared" si="4"/>
        <v>0</v>
      </c>
      <c r="D43" s="161">
        <f>E33</f>
        <v>7.6733603947176585E-2</v>
      </c>
      <c r="E43" s="101">
        <f t="shared" si="1"/>
        <v>0</v>
      </c>
      <c r="G43" s="115" t="s">
        <v>31</v>
      </c>
      <c r="H43" s="101">
        <f t="shared" si="2"/>
        <v>0</v>
      </c>
      <c r="I43" s="161">
        <f>M33</f>
        <v>6.25E-2</v>
      </c>
      <c r="J43" s="101">
        <f t="shared" si="3"/>
        <v>0</v>
      </c>
    </row>
    <row r="44" spans="1:15">
      <c r="B44" s="115" t="s">
        <v>32</v>
      </c>
      <c r="C44" s="101">
        <f t="shared" si="4"/>
        <v>0</v>
      </c>
      <c r="D44" s="161">
        <f>A35</f>
        <v>4.0386107340619259E-2</v>
      </c>
      <c r="E44" s="101">
        <f t="shared" si="1"/>
        <v>0</v>
      </c>
      <c r="G44" s="115" t="s">
        <v>32</v>
      </c>
      <c r="H44" s="101">
        <f t="shared" si="2"/>
        <v>0</v>
      </c>
      <c r="I44" s="161">
        <f>H35</f>
        <v>3.125E-2</v>
      </c>
      <c r="J44" s="101">
        <f t="shared" si="3"/>
        <v>0</v>
      </c>
    </row>
    <row r="45" spans="1:15">
      <c r="B45" s="115" t="s">
        <v>118</v>
      </c>
      <c r="C45" s="101">
        <f t="shared" si="4"/>
        <v>0</v>
      </c>
      <c r="D45" s="161">
        <f>B35</f>
        <v>2.1255845968746981E-2</v>
      </c>
      <c r="E45" s="101">
        <f t="shared" si="1"/>
        <v>0</v>
      </c>
      <c r="G45" s="115" t="s">
        <v>118</v>
      </c>
      <c r="H45" s="101">
        <f t="shared" si="2"/>
        <v>0</v>
      </c>
      <c r="I45" s="161">
        <f>I35</f>
        <v>1.5625E-2</v>
      </c>
      <c r="J45" s="101">
        <f t="shared" si="3"/>
        <v>0</v>
      </c>
    </row>
    <row r="46" spans="1:15">
      <c r="B46" s="115" t="s">
        <v>120</v>
      </c>
      <c r="C46" s="101">
        <f t="shared" si="4"/>
        <v>0</v>
      </c>
      <c r="D46" s="161">
        <f>C35</f>
        <v>1.1187287351972094E-2</v>
      </c>
      <c r="E46" s="101">
        <f t="shared" si="1"/>
        <v>0</v>
      </c>
      <c r="G46" s="115" t="s">
        <v>120</v>
      </c>
      <c r="H46" s="101">
        <f>C22</f>
        <v>0</v>
      </c>
      <c r="I46" s="161">
        <f>J35</f>
        <v>7.8125E-3</v>
      </c>
      <c r="J46" s="101">
        <f t="shared" si="3"/>
        <v>0</v>
      </c>
    </row>
    <row r="47" spans="1:15">
      <c r="B47" s="115" t="s">
        <v>140</v>
      </c>
      <c r="C47" s="101">
        <f t="shared" si="4"/>
        <v>0</v>
      </c>
      <c r="D47" s="161">
        <f>D35</f>
        <v>5.8880459747221543E-3</v>
      </c>
      <c r="E47" s="101">
        <f t="shared" si="1"/>
        <v>0</v>
      </c>
      <c r="G47" s="115" t="s">
        <v>140</v>
      </c>
      <c r="H47" s="101">
        <f>C23</f>
        <v>0</v>
      </c>
      <c r="I47" s="161">
        <f>K35</f>
        <v>3.90625E-3</v>
      </c>
      <c r="J47" s="101">
        <f t="shared" si="3"/>
        <v>0</v>
      </c>
    </row>
    <row r="48" spans="1:15">
      <c r="B48" s="115" t="s">
        <v>141</v>
      </c>
      <c r="C48" s="101">
        <f t="shared" si="4"/>
        <v>0</v>
      </c>
      <c r="D48" s="161">
        <f>E35</f>
        <v>3.0989715656432396E-3</v>
      </c>
      <c r="E48" s="101">
        <f t="shared" si="1"/>
        <v>0</v>
      </c>
      <c r="G48" s="115" t="s">
        <v>141</v>
      </c>
      <c r="H48" s="101">
        <f>C24</f>
        <v>0</v>
      </c>
      <c r="I48" s="161">
        <f>L35</f>
        <v>1.953125E-3</v>
      </c>
      <c r="J48" s="101">
        <f t="shared" si="3"/>
        <v>0</v>
      </c>
    </row>
    <row r="49" spans="1:10">
      <c r="B49" s="115" t="s">
        <v>142</v>
      </c>
      <c r="C49" s="101">
        <f t="shared" si="4"/>
        <v>0</v>
      </c>
      <c r="D49" s="161">
        <f>F35</f>
        <v>1.6310376661280207E-3</v>
      </c>
      <c r="E49" s="101">
        <f t="shared" si="1"/>
        <v>0</v>
      </c>
      <c r="G49" s="115" t="s">
        <v>142</v>
      </c>
      <c r="H49" s="101">
        <f>C25</f>
        <v>0</v>
      </c>
      <c r="I49" s="161">
        <f>M35</f>
        <v>9.765625E-4</v>
      </c>
      <c r="J49" s="101">
        <f t="shared" si="3"/>
        <v>0</v>
      </c>
    </row>
    <row r="50" spans="1:10" s="223" customFormat="1">
      <c r="B50" s="224" t="s">
        <v>42</v>
      </c>
      <c r="C50" s="224"/>
      <c r="D50" s="224"/>
      <c r="E50" s="224">
        <f>SUM(E39:E49)</f>
        <v>64122155.707829133</v>
      </c>
      <c r="G50" s="224" t="s">
        <v>43</v>
      </c>
      <c r="H50" s="224"/>
      <c r="I50" s="224"/>
      <c r="J50" s="224">
        <f>SUM(J39:J49)</f>
        <v>57977647.600000001</v>
      </c>
    </row>
    <row r="51" spans="1:10">
      <c r="E51" s="169"/>
    </row>
    <row r="52" spans="1:10">
      <c r="E52" s="169"/>
    </row>
    <row r="53" spans="1:10">
      <c r="B53" s="93"/>
      <c r="E53" s="169"/>
    </row>
    <row r="54" spans="1:10">
      <c r="C54" s="93"/>
      <c r="E54" s="170"/>
    </row>
    <row r="55" spans="1:10">
      <c r="B55" s="171" t="s">
        <v>44</v>
      </c>
      <c r="C55" s="172">
        <f>25%</f>
        <v>0.25</v>
      </c>
      <c r="D55" s="93" t="s">
        <v>45</v>
      </c>
    </row>
    <row r="58" spans="1:10">
      <c r="A58" s="159" t="s">
        <v>46</v>
      </c>
    </row>
    <row r="59" spans="1:10">
      <c r="G59" s="92" t="s">
        <v>47</v>
      </c>
    </row>
    <row r="60" spans="1:10">
      <c r="B60" s="173"/>
      <c r="C60" s="174" t="s">
        <v>48</v>
      </c>
      <c r="D60" s="175"/>
      <c r="E60" s="175"/>
      <c r="F60" s="175"/>
      <c r="G60" s="176"/>
      <c r="H60" s="177"/>
      <c r="I60" s="177"/>
      <c r="J60" s="177"/>
    </row>
    <row r="61" spans="1:10">
      <c r="B61" s="173"/>
      <c r="C61" s="178" t="s">
        <v>37</v>
      </c>
      <c r="D61" s="178" t="s">
        <v>28</v>
      </c>
      <c r="E61" s="178" t="s">
        <v>29</v>
      </c>
      <c r="F61" s="178" t="s">
        <v>30</v>
      </c>
      <c r="G61" s="178" t="s">
        <v>31</v>
      </c>
      <c r="H61" s="160" t="s">
        <v>32</v>
      </c>
      <c r="I61" s="160" t="s">
        <v>118</v>
      </c>
      <c r="J61" s="160" t="s">
        <v>120</v>
      </c>
    </row>
    <row r="62" spans="1:10" s="94" customFormat="1" ht="17">
      <c r="B62" s="179" t="s">
        <v>49</v>
      </c>
      <c r="C62" s="101">
        <f>C15/1000</f>
        <v>0</v>
      </c>
      <c r="D62" s="101"/>
      <c r="E62" s="101"/>
      <c r="F62" s="101"/>
      <c r="G62" s="101"/>
      <c r="H62" s="101"/>
      <c r="I62" s="101"/>
      <c r="J62" s="101"/>
    </row>
    <row r="63" spans="1:10" s="94" customFormat="1" ht="17">
      <c r="B63" s="179" t="s">
        <v>50</v>
      </c>
      <c r="C63" s="101"/>
      <c r="D63" s="101">
        <f>C40/1000</f>
        <v>34767.72</v>
      </c>
      <c r="E63" s="101">
        <f>C41/1000</f>
        <v>104479.03999999999</v>
      </c>
      <c r="F63" s="101">
        <f>C42/1000</f>
        <v>115792.2208</v>
      </c>
      <c r="G63" s="101">
        <f>C43/1000</f>
        <v>0</v>
      </c>
      <c r="H63" s="101">
        <f>C44/1000</f>
        <v>0</v>
      </c>
      <c r="I63" s="101">
        <f>C45/1000</f>
        <v>0</v>
      </c>
      <c r="J63" s="101">
        <f>C46/1000</f>
        <v>0</v>
      </c>
    </row>
    <row r="64" spans="1:10" s="94" customFormat="1" ht="34">
      <c r="B64" s="179" t="s">
        <v>51</v>
      </c>
      <c r="D64" s="101"/>
      <c r="E64" s="101"/>
      <c r="F64" s="101"/>
      <c r="G64" s="101"/>
      <c r="H64" s="101"/>
      <c r="I64" s="101"/>
      <c r="J64" s="101"/>
    </row>
    <row r="65" spans="2:10" s="181" customFormat="1" ht="34">
      <c r="B65" s="180" t="s">
        <v>52</v>
      </c>
      <c r="C65" s="99">
        <f t="shared" ref="C65:J65" si="5">SUM(C62:C64)</f>
        <v>0</v>
      </c>
      <c r="D65" s="99">
        <f t="shared" si="5"/>
        <v>34767.72</v>
      </c>
      <c r="E65" s="99">
        <f t="shared" si="5"/>
        <v>104479.03999999999</v>
      </c>
      <c r="F65" s="99">
        <f t="shared" si="5"/>
        <v>115792.2208</v>
      </c>
      <c r="G65" s="99">
        <f t="shared" si="5"/>
        <v>0</v>
      </c>
      <c r="H65" s="99">
        <f t="shared" si="5"/>
        <v>0</v>
      </c>
      <c r="I65" s="99">
        <f t="shared" si="5"/>
        <v>0</v>
      </c>
      <c r="J65" s="99">
        <f t="shared" si="5"/>
        <v>0</v>
      </c>
    </row>
    <row r="66" spans="2:10" s="183" customFormat="1" ht="51">
      <c r="B66" s="182" t="s">
        <v>53</v>
      </c>
      <c r="C66" s="116">
        <f>C65</f>
        <v>0</v>
      </c>
      <c r="D66" s="116">
        <f>C66+D65</f>
        <v>34767.72</v>
      </c>
      <c r="E66" s="116">
        <f t="shared" ref="E66:J66" si="6">D66+E65</f>
        <v>139246.76</v>
      </c>
      <c r="F66" s="116">
        <f t="shared" si="6"/>
        <v>255038.98080000002</v>
      </c>
      <c r="G66" s="116">
        <f t="shared" si="6"/>
        <v>255038.98080000002</v>
      </c>
      <c r="H66" s="116">
        <f t="shared" si="6"/>
        <v>255038.98080000002</v>
      </c>
      <c r="I66" s="116">
        <f t="shared" si="6"/>
        <v>255038.98080000002</v>
      </c>
      <c r="J66" s="116">
        <f t="shared" si="6"/>
        <v>255038.98080000002</v>
      </c>
    </row>
    <row r="67" spans="2:10" s="185" customFormat="1" ht="51">
      <c r="B67" s="184" t="s">
        <v>54</v>
      </c>
      <c r="C67" s="165">
        <v>1</v>
      </c>
      <c r="D67" s="165">
        <f t="shared" ref="D67:J67" si="7">C11</f>
        <v>0.89285714285714279</v>
      </c>
      <c r="E67" s="165">
        <f t="shared" si="7"/>
        <v>0.79719387755102034</v>
      </c>
      <c r="F67" s="165">
        <f t="shared" si="7"/>
        <v>0.71178024781341087</v>
      </c>
      <c r="G67" s="165">
        <f t="shared" si="7"/>
        <v>0.63551807840483121</v>
      </c>
      <c r="H67" s="165">
        <f t="shared" si="7"/>
        <v>0.56742685571859919</v>
      </c>
      <c r="I67" s="165">
        <f t="shared" si="7"/>
        <v>0.50663112117732068</v>
      </c>
      <c r="J67" s="165">
        <f t="shared" si="7"/>
        <v>0.45234921533689343</v>
      </c>
    </row>
    <row r="68" spans="2:10" s="181" customFormat="1" ht="51">
      <c r="B68" s="180" t="s">
        <v>55</v>
      </c>
      <c r="C68" s="99">
        <f>C65*C67</f>
        <v>0</v>
      </c>
      <c r="D68" s="99">
        <f>D65*D67</f>
        <v>31042.607142857141</v>
      </c>
      <c r="E68" s="99">
        <f t="shared" ref="E68:J68" si="8">E65*E67</f>
        <v>83290.051020408151</v>
      </c>
      <c r="F68" s="99">
        <f t="shared" si="8"/>
        <v>82418.615615889183</v>
      </c>
      <c r="G68" s="99">
        <f t="shared" si="8"/>
        <v>0</v>
      </c>
      <c r="H68" s="99">
        <f t="shared" si="8"/>
        <v>0</v>
      </c>
      <c r="I68" s="99">
        <f t="shared" si="8"/>
        <v>0</v>
      </c>
      <c r="J68" s="99">
        <f t="shared" si="8"/>
        <v>0</v>
      </c>
    </row>
    <row r="69" spans="2:10" s="181" customFormat="1" ht="68">
      <c r="B69" s="180" t="s">
        <v>56</v>
      </c>
      <c r="C69" s="99">
        <f>C68</f>
        <v>0</v>
      </c>
      <c r="D69" s="99">
        <f t="shared" ref="D69:J69" si="9">C69+D68</f>
        <v>31042.607142857141</v>
      </c>
      <c r="E69" s="99">
        <f t="shared" si="9"/>
        <v>114332.6581632653</v>
      </c>
      <c r="F69" s="99">
        <f t="shared" si="9"/>
        <v>196751.27377915446</v>
      </c>
      <c r="G69" s="99">
        <f t="shared" si="9"/>
        <v>196751.27377915446</v>
      </c>
      <c r="H69" s="99">
        <f>G69+H68</f>
        <v>196751.27377915446</v>
      </c>
      <c r="I69" s="99">
        <f t="shared" si="9"/>
        <v>196751.27377915446</v>
      </c>
      <c r="J69" s="99">
        <f t="shared" si="9"/>
        <v>196751.27377915446</v>
      </c>
    </row>
    <row r="72" spans="2:10">
      <c r="B72" s="92" t="s">
        <v>57</v>
      </c>
    </row>
    <row r="75" spans="2:10">
      <c r="B75" s="93" t="s">
        <v>58</v>
      </c>
      <c r="D75" s="186">
        <f>2+-E66/F65</f>
        <v>0.79744287623163013</v>
      </c>
      <c r="E75" s="74" t="s">
        <v>59</v>
      </c>
      <c r="F75" s="181">
        <f>D75*12</f>
        <v>9.5693145147795615</v>
      </c>
      <c r="G75" s="93" t="s">
        <v>4</v>
      </c>
      <c r="H75" s="93"/>
      <c r="I75" s="93"/>
    </row>
    <row r="76" spans="2:10" s="93" customFormat="1">
      <c r="B76" s="93" t="s">
        <v>60</v>
      </c>
      <c r="D76" s="186" t="e">
        <f>4+-G69/H68</f>
        <v>#DIV/0!</v>
      </c>
      <c r="E76" s="74" t="s">
        <v>59</v>
      </c>
      <c r="F76" s="181" t="e">
        <f>D76*12</f>
        <v>#DIV/0!</v>
      </c>
      <c r="G76" s="93" t="s">
        <v>134</v>
      </c>
      <c r="I76" s="187"/>
    </row>
    <row r="90" spans="3:4">
      <c r="C90" s="95"/>
      <c r="D90" s="95"/>
    </row>
    <row r="91" spans="3:4">
      <c r="C91" s="95"/>
      <c r="D91" s="95"/>
    </row>
    <row r="92" spans="3:4">
      <c r="C92" s="95"/>
      <c r="D92" s="95"/>
    </row>
    <row r="93" spans="3:4">
      <c r="C93" s="188"/>
      <c r="D93" s="188"/>
    </row>
  </sheetData>
  <mergeCells count="1">
    <mergeCell ref="A9:D9"/>
  </mergeCells>
  <phoneticPr fontId="2" type="noConversion"/>
  <pageMargins left="0.75" right="0.75" top="0.64" bottom="0.28000000000000003" header="0.5" footer="0.25"/>
  <pageSetup paperSize="9" scale="70" fitToHeight="2" orientation="landscape" verticalDpi="0"/>
  <headerFooter alignWithMargins="0"/>
  <rowBreaks count="1" manualBreakCount="1">
    <brk id="5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37"/>
  <sheetViews>
    <sheetView view="pageBreakPreview" zoomScaleNormal="100" workbookViewId="0">
      <selection activeCell="K32" sqref="K32"/>
    </sheetView>
  </sheetViews>
  <sheetFormatPr baseColWidth="10" defaultColWidth="9.1640625" defaultRowHeight="13"/>
  <cols>
    <col min="1" max="1" width="6.33203125" style="1" customWidth="1"/>
    <col min="2" max="5" width="9.1640625" style="1"/>
    <col min="6" max="9" width="15.1640625" style="1" bestFit="1" customWidth="1"/>
    <col min="10" max="10" width="14.83203125" style="1" customWidth="1"/>
    <col min="11" max="14" width="15.33203125" style="1" customWidth="1"/>
    <col min="15" max="16384" width="9.1640625" style="1"/>
  </cols>
  <sheetData>
    <row r="1" spans="1:14">
      <c r="A1" s="2" t="s">
        <v>136</v>
      </c>
    </row>
    <row r="3" spans="1:14">
      <c r="A3" s="2" t="s">
        <v>156</v>
      </c>
    </row>
    <row r="4" spans="1:14">
      <c r="A4" s="2"/>
    </row>
    <row r="5" spans="1:14">
      <c r="A5" s="31" t="s">
        <v>132</v>
      </c>
    </row>
    <row r="6" spans="1:14" ht="8.25" customHeight="1" thickBot="1">
      <c r="A6" s="31"/>
      <c r="C6" s="31"/>
      <c r="D6" s="31"/>
    </row>
    <row r="7" spans="1:14">
      <c r="A7" s="32" t="s">
        <v>124</v>
      </c>
      <c r="B7" s="33"/>
      <c r="C7" s="33"/>
      <c r="D7" s="33"/>
      <c r="E7" s="33" t="s">
        <v>125</v>
      </c>
      <c r="F7" s="34" t="s">
        <v>29</v>
      </c>
      <c r="G7" s="34" t="s">
        <v>30</v>
      </c>
      <c r="H7" s="34" t="s">
        <v>31</v>
      </c>
      <c r="I7" s="34" t="s">
        <v>32</v>
      </c>
      <c r="J7" s="34" t="s">
        <v>118</v>
      </c>
      <c r="K7" s="34" t="s">
        <v>120</v>
      </c>
      <c r="L7" s="34" t="s">
        <v>140</v>
      </c>
      <c r="M7" s="34" t="s">
        <v>141</v>
      </c>
      <c r="N7" s="34" t="s">
        <v>142</v>
      </c>
    </row>
    <row r="8" spans="1:14" ht="14" thickBot="1">
      <c r="A8" s="35"/>
      <c r="B8" s="36"/>
      <c r="C8" s="36"/>
      <c r="D8" s="36"/>
      <c r="E8" s="36"/>
      <c r="F8" s="37"/>
      <c r="G8" s="38"/>
      <c r="H8" s="37"/>
      <c r="I8" s="38"/>
      <c r="J8" s="37"/>
      <c r="K8" s="37"/>
      <c r="L8" s="37"/>
      <c r="M8" s="37"/>
      <c r="N8" s="37"/>
    </row>
    <row r="9" spans="1:14">
      <c r="A9" s="39" t="s">
        <v>126</v>
      </c>
      <c r="B9" s="31"/>
      <c r="C9" s="31"/>
      <c r="D9" s="31"/>
      <c r="E9" s="31"/>
      <c r="F9" s="48">
        <f>'6.ОПУ'!O13</f>
        <v>229390358</v>
      </c>
      <c r="G9" s="48">
        <f>'6.ОПУ'!P13</f>
        <v>239599864</v>
      </c>
      <c r="H9" s="48">
        <f>'6.ОПУ'!Q13</f>
        <v>0</v>
      </c>
      <c r="I9" s="48">
        <f>'6.ОПУ'!R13</f>
        <v>0</v>
      </c>
      <c r="J9" s="48">
        <f>'6.ОПУ'!S13</f>
        <v>0</v>
      </c>
      <c r="K9" s="48">
        <f>'6.ОПУ'!T13</f>
        <v>0</v>
      </c>
      <c r="L9" s="48">
        <f>'6.ОПУ'!U13</f>
        <v>0</v>
      </c>
      <c r="M9" s="48">
        <f>'6.ОПУ'!V13</f>
        <v>0</v>
      </c>
      <c r="N9" s="48">
        <f>'6.ОПУ'!W13</f>
        <v>0</v>
      </c>
    </row>
    <row r="10" spans="1:14">
      <c r="A10" s="41" t="s">
        <v>127</v>
      </c>
      <c r="B10" s="31"/>
      <c r="C10" s="31"/>
      <c r="D10" s="31"/>
      <c r="E10" s="41"/>
      <c r="F10" s="48">
        <f>'6.ОПУ'!O16</f>
        <v>242990000</v>
      </c>
      <c r="G10" s="48">
        <f>'6.ОПУ'!P16</f>
        <v>259999300</v>
      </c>
      <c r="H10" s="48">
        <f>'6.ОПУ'!Q16</f>
        <v>0</v>
      </c>
      <c r="I10" s="48">
        <f>'6.ОПУ'!R16</f>
        <v>0</v>
      </c>
      <c r="J10" s="48">
        <f>'6.ОПУ'!S16</f>
        <v>0</v>
      </c>
      <c r="K10" s="48">
        <f>'6.ОПУ'!T16</f>
        <v>0</v>
      </c>
      <c r="L10" s="48">
        <f>'6.ОПУ'!U16</f>
        <v>0</v>
      </c>
      <c r="M10" s="48">
        <f>'6.ОПУ'!V16</f>
        <v>0</v>
      </c>
      <c r="N10" s="48">
        <f>'6.ОПУ'!W16</f>
        <v>0</v>
      </c>
    </row>
    <row r="11" spans="1:14">
      <c r="A11" s="41" t="s">
        <v>93</v>
      </c>
      <c r="B11" s="31"/>
      <c r="C11" s="31"/>
      <c r="D11" s="31"/>
      <c r="E11" s="41"/>
      <c r="F11" s="48">
        <f>'6.ОПУ'!O26</f>
        <v>112391200</v>
      </c>
      <c r="G11" s="48">
        <f>'6.ОПУ'!P26</f>
        <v>115259024</v>
      </c>
      <c r="H11" s="48">
        <f>'6.ОПУ'!Q26</f>
        <v>0</v>
      </c>
      <c r="I11" s="48">
        <f>'6.ОПУ'!R26</f>
        <v>0</v>
      </c>
      <c r="J11" s="48">
        <f>'6.ОПУ'!S26</f>
        <v>0</v>
      </c>
      <c r="K11" s="48">
        <f>'6.ОПУ'!T26</f>
        <v>0</v>
      </c>
      <c r="L11" s="48">
        <f>'6.ОПУ'!U26</f>
        <v>0</v>
      </c>
      <c r="M11" s="48">
        <f>'6.ОПУ'!V26</f>
        <v>0</v>
      </c>
      <c r="N11" s="48">
        <f>'6.ОПУ'!W26</f>
        <v>0</v>
      </c>
    </row>
    <row r="12" spans="1:14">
      <c r="A12" s="41" t="s">
        <v>128</v>
      </c>
      <c r="B12" s="41"/>
      <c r="C12" s="41"/>
      <c r="D12" s="41"/>
      <c r="E12" s="41"/>
      <c r="F12" s="46">
        <f t="shared" ref="F12:N12" si="0">F10/F9</f>
        <v>1.0592860228240282</v>
      </c>
      <c r="G12" s="47">
        <f t="shared" si="0"/>
        <v>1.0851395975750637</v>
      </c>
      <c r="H12" s="46" t="e">
        <f t="shared" si="0"/>
        <v>#DIV/0!</v>
      </c>
      <c r="I12" s="47" t="e">
        <f t="shared" si="0"/>
        <v>#DIV/0!</v>
      </c>
      <c r="J12" s="46" t="e">
        <f t="shared" si="0"/>
        <v>#DIV/0!</v>
      </c>
      <c r="K12" s="46" t="e">
        <f t="shared" si="0"/>
        <v>#DIV/0!</v>
      </c>
      <c r="L12" s="46" t="e">
        <f t="shared" si="0"/>
        <v>#DIV/0!</v>
      </c>
      <c r="M12" s="46" t="e">
        <f t="shared" si="0"/>
        <v>#DIV/0!</v>
      </c>
      <c r="N12" s="46" t="e">
        <f t="shared" si="0"/>
        <v>#DIV/0!</v>
      </c>
    </row>
    <row r="13" spans="1:14">
      <c r="A13" s="41" t="s">
        <v>129</v>
      </c>
      <c r="B13" s="41"/>
      <c r="C13" s="41"/>
      <c r="D13" s="41"/>
      <c r="E13" s="41"/>
      <c r="F13" s="48">
        <f t="shared" ref="F13:K13" si="1">F11/F12</f>
        <v>106100899.64216471</v>
      </c>
      <c r="G13" s="48">
        <f t="shared" si="1"/>
        <v>106215849.33179718</v>
      </c>
      <c r="H13" s="48" t="e">
        <f t="shared" si="1"/>
        <v>#DIV/0!</v>
      </c>
      <c r="I13" s="48" t="e">
        <f t="shared" si="1"/>
        <v>#DIV/0!</v>
      </c>
      <c r="J13" s="48" t="e">
        <f t="shared" si="1"/>
        <v>#DIV/0!</v>
      </c>
      <c r="K13" s="48" t="e">
        <f t="shared" si="1"/>
        <v>#DIV/0!</v>
      </c>
      <c r="L13" s="48" t="e">
        <f>L11/L12</f>
        <v>#DIV/0!</v>
      </c>
      <c r="M13" s="48" t="e">
        <f>M11/M12</f>
        <v>#DIV/0!</v>
      </c>
      <c r="N13" s="48" t="e">
        <f>N11/N12</f>
        <v>#DIV/0!</v>
      </c>
    </row>
    <row r="14" spans="1:14">
      <c r="A14" s="41" t="s">
        <v>130</v>
      </c>
      <c r="B14" s="41"/>
      <c r="C14" s="41"/>
      <c r="D14" s="41"/>
      <c r="E14" s="41"/>
      <c r="F14" s="48">
        <f t="shared" ref="F14:K14" si="2">F9-F13</f>
        <v>123289458.35783529</v>
      </c>
      <c r="G14" s="48">
        <f t="shared" si="2"/>
        <v>133384014.66820282</v>
      </c>
      <c r="H14" s="48" t="e">
        <f t="shared" si="2"/>
        <v>#DIV/0!</v>
      </c>
      <c r="I14" s="48" t="e">
        <f t="shared" si="2"/>
        <v>#DIV/0!</v>
      </c>
      <c r="J14" s="48" t="e">
        <f t="shared" si="2"/>
        <v>#DIV/0!</v>
      </c>
      <c r="K14" s="48" t="e">
        <f t="shared" si="2"/>
        <v>#DIV/0!</v>
      </c>
      <c r="L14" s="48" t="e">
        <f>L9-L13</f>
        <v>#DIV/0!</v>
      </c>
      <c r="M14" s="48" t="e">
        <f>M9-M13</f>
        <v>#DIV/0!</v>
      </c>
      <c r="N14" s="48" t="e">
        <f>N9-N13</f>
        <v>#DIV/0!</v>
      </c>
    </row>
    <row r="15" spans="1:14" ht="14" thickBot="1">
      <c r="A15" s="41" t="s">
        <v>131</v>
      </c>
      <c r="B15" s="41"/>
      <c r="C15" s="41"/>
      <c r="D15" s="41"/>
      <c r="E15" s="41"/>
      <c r="F15" s="42">
        <f t="shared" ref="F15:K15" si="3">F14/F9</f>
        <v>0.53746573933083663</v>
      </c>
      <c r="G15" s="42">
        <f t="shared" si="3"/>
        <v>0.55669486802464474</v>
      </c>
      <c r="H15" s="42" t="e">
        <f t="shared" si="3"/>
        <v>#DIV/0!</v>
      </c>
      <c r="I15" s="42" t="e">
        <f t="shared" si="3"/>
        <v>#DIV/0!</v>
      </c>
      <c r="J15" s="42" t="e">
        <f t="shared" si="3"/>
        <v>#DIV/0!</v>
      </c>
      <c r="K15" s="42" t="e">
        <f t="shared" si="3"/>
        <v>#DIV/0!</v>
      </c>
      <c r="L15" s="42" t="e">
        <f>L14/L9</f>
        <v>#DIV/0!</v>
      </c>
      <c r="M15" s="42" t="e">
        <f>M14/M9</f>
        <v>#DIV/0!</v>
      </c>
      <c r="N15" s="42" t="e">
        <f>N14/N9</f>
        <v>#DIV/0!</v>
      </c>
    </row>
    <row r="16" spans="1:14">
      <c r="A16" s="41"/>
      <c r="B16" s="41"/>
      <c r="C16" s="41"/>
      <c r="D16" s="41"/>
      <c r="E16" s="41"/>
      <c r="F16" s="40"/>
      <c r="G16" s="40"/>
      <c r="H16" s="40"/>
      <c r="I16" s="40"/>
      <c r="J16" s="40"/>
    </row>
    <row r="17" spans="6:10">
      <c r="F17" s="43"/>
      <c r="G17" s="43"/>
      <c r="H17" s="43"/>
      <c r="I17" s="41"/>
      <c r="J17" s="41"/>
    </row>
    <row r="18" spans="6:10">
      <c r="F18" s="43"/>
      <c r="G18" s="43"/>
      <c r="H18" s="43"/>
      <c r="I18" s="41"/>
      <c r="J18" s="41"/>
    </row>
    <row r="19" spans="6:10">
      <c r="F19" s="43"/>
      <c r="G19" s="43"/>
      <c r="H19" s="43"/>
      <c r="I19" s="41"/>
      <c r="J19" s="41"/>
    </row>
    <row r="20" spans="6:10">
      <c r="F20" s="44"/>
      <c r="G20" s="44"/>
      <c r="H20" s="44"/>
    </row>
    <row r="21" spans="6:10">
      <c r="F21" s="44"/>
      <c r="G21" s="44"/>
      <c r="H21" s="44"/>
    </row>
    <row r="22" spans="6:10">
      <c r="F22" s="44"/>
      <c r="G22" s="44"/>
      <c r="H22" s="44"/>
    </row>
    <row r="23" spans="6:10">
      <c r="F23" s="44"/>
      <c r="G23" s="44"/>
      <c r="H23" s="44"/>
    </row>
    <row r="24" spans="6:10">
      <c r="F24" s="44"/>
      <c r="G24" s="44"/>
      <c r="H24" s="44"/>
    </row>
    <row r="25" spans="6:10">
      <c r="F25" s="44"/>
      <c r="G25" s="44"/>
      <c r="H25" s="44"/>
    </row>
    <row r="26" spans="6:10">
      <c r="F26" s="44"/>
      <c r="G26" s="44"/>
      <c r="H26" s="44"/>
    </row>
    <row r="27" spans="6:10">
      <c r="F27" s="44"/>
      <c r="G27" s="44"/>
      <c r="H27" s="44"/>
    </row>
    <row r="28" spans="6:10">
      <c r="F28" s="44"/>
      <c r="G28" s="44"/>
      <c r="H28" s="44"/>
    </row>
    <row r="29" spans="6:10">
      <c r="F29" s="44"/>
      <c r="G29" s="44"/>
      <c r="H29" s="44"/>
    </row>
    <row r="30" spans="6:10">
      <c r="F30" s="44"/>
      <c r="G30" s="44"/>
      <c r="H30" s="44"/>
    </row>
    <row r="31" spans="6:10">
      <c r="F31" s="44"/>
      <c r="G31" s="44"/>
      <c r="H31" s="44"/>
    </row>
    <row r="32" spans="6:10">
      <c r="F32" s="44"/>
      <c r="G32" s="44"/>
      <c r="H32" s="44"/>
    </row>
    <row r="33" spans="6:8">
      <c r="F33" s="44"/>
      <c r="G33" s="44"/>
      <c r="H33" s="44"/>
    </row>
    <row r="34" spans="6:8">
      <c r="F34" s="44"/>
      <c r="G34" s="44"/>
      <c r="H34" s="44"/>
    </row>
    <row r="35" spans="6:8">
      <c r="F35" s="44"/>
      <c r="G35" s="44"/>
      <c r="H35" s="44"/>
    </row>
    <row r="36" spans="6:8">
      <c r="F36" s="44"/>
      <c r="G36" s="44"/>
      <c r="H36" s="44"/>
    </row>
    <row r="37" spans="6:8">
      <c r="F37" s="44"/>
      <c r="G37" s="44"/>
      <c r="H37" s="44"/>
    </row>
    <row r="38" spans="6:8">
      <c r="F38" s="44"/>
      <c r="G38" s="44"/>
      <c r="H38" s="44"/>
    </row>
    <row r="39" spans="6:8">
      <c r="F39" s="44"/>
      <c r="G39" s="44"/>
      <c r="H39" s="44"/>
    </row>
    <row r="40" spans="6:8">
      <c r="F40" s="44"/>
      <c r="G40" s="44"/>
      <c r="H40" s="44"/>
    </row>
    <row r="41" spans="6:8">
      <c r="F41" s="44"/>
      <c r="G41" s="44"/>
      <c r="H41" s="44"/>
    </row>
    <row r="42" spans="6:8">
      <c r="F42" s="44"/>
      <c r="G42" s="44"/>
      <c r="H42" s="44"/>
    </row>
    <row r="43" spans="6:8">
      <c r="F43" s="44"/>
      <c r="G43" s="44"/>
      <c r="H43" s="44"/>
    </row>
    <row r="44" spans="6:8">
      <c r="F44" s="44"/>
      <c r="G44" s="44"/>
      <c r="H44" s="44"/>
    </row>
    <row r="45" spans="6:8">
      <c r="F45" s="44"/>
      <c r="G45" s="44"/>
      <c r="H45" s="44"/>
    </row>
    <row r="46" spans="6:8">
      <c r="F46" s="44"/>
      <c r="G46" s="44"/>
      <c r="H46" s="44"/>
    </row>
    <row r="47" spans="6:8">
      <c r="F47" s="44"/>
      <c r="G47" s="44"/>
      <c r="H47" s="44"/>
    </row>
    <row r="48" spans="6:8">
      <c r="F48" s="44"/>
      <c r="G48" s="44"/>
      <c r="H48" s="44"/>
    </row>
    <row r="49" spans="6:8">
      <c r="F49" s="44"/>
      <c r="G49" s="44"/>
      <c r="H49" s="44"/>
    </row>
    <row r="50" spans="6:8">
      <c r="F50" s="44"/>
      <c r="G50" s="44"/>
      <c r="H50" s="44"/>
    </row>
    <row r="51" spans="6:8">
      <c r="F51" s="44"/>
      <c r="G51" s="44"/>
      <c r="H51" s="44"/>
    </row>
    <row r="52" spans="6:8">
      <c r="F52" s="44"/>
      <c r="G52" s="44"/>
      <c r="H52" s="44"/>
    </row>
    <row r="53" spans="6:8">
      <c r="F53" s="44"/>
      <c r="G53" s="44"/>
      <c r="H53" s="44"/>
    </row>
    <row r="54" spans="6:8">
      <c r="F54" s="44"/>
      <c r="G54" s="44"/>
      <c r="H54" s="44"/>
    </row>
    <row r="55" spans="6:8">
      <c r="F55" s="44"/>
      <c r="G55" s="44"/>
      <c r="H55" s="44"/>
    </row>
    <row r="56" spans="6:8">
      <c r="F56" s="44"/>
      <c r="G56" s="44"/>
      <c r="H56" s="44"/>
    </row>
    <row r="57" spans="6:8">
      <c r="F57" s="44"/>
      <c r="G57" s="44"/>
      <c r="H57" s="44"/>
    </row>
    <row r="58" spans="6:8">
      <c r="F58" s="44"/>
      <c r="G58" s="44"/>
      <c r="H58" s="44"/>
    </row>
    <row r="59" spans="6:8">
      <c r="F59" s="44"/>
      <c r="G59" s="44"/>
      <c r="H59" s="44"/>
    </row>
    <row r="60" spans="6:8">
      <c r="F60" s="44"/>
      <c r="G60" s="44"/>
      <c r="H60" s="44"/>
    </row>
    <row r="61" spans="6:8">
      <c r="F61" s="44"/>
      <c r="G61" s="44"/>
      <c r="H61" s="44"/>
    </row>
    <row r="62" spans="6:8">
      <c r="F62" s="44"/>
      <c r="G62" s="44"/>
      <c r="H62" s="44"/>
    </row>
    <row r="63" spans="6:8">
      <c r="F63" s="44"/>
      <c r="G63" s="44"/>
      <c r="H63" s="44"/>
    </row>
    <row r="64" spans="6:8">
      <c r="F64" s="44"/>
      <c r="G64" s="44"/>
      <c r="H64" s="44"/>
    </row>
    <row r="65" spans="6:8">
      <c r="F65" s="44"/>
      <c r="G65" s="44"/>
      <c r="H65" s="44"/>
    </row>
    <row r="66" spans="6:8">
      <c r="F66" s="44"/>
      <c r="G66" s="44"/>
      <c r="H66" s="44"/>
    </row>
    <row r="67" spans="6:8">
      <c r="F67" s="44"/>
      <c r="G67" s="44"/>
      <c r="H67" s="44"/>
    </row>
    <row r="68" spans="6:8">
      <c r="F68" s="44"/>
      <c r="G68" s="44"/>
      <c r="H68" s="44"/>
    </row>
    <row r="69" spans="6:8">
      <c r="F69" s="44"/>
      <c r="G69" s="44"/>
      <c r="H69" s="44"/>
    </row>
    <row r="70" spans="6:8">
      <c r="F70" s="44"/>
      <c r="G70" s="44"/>
      <c r="H70" s="44"/>
    </row>
    <row r="71" spans="6:8">
      <c r="F71" s="44"/>
      <c r="G71" s="44"/>
      <c r="H71" s="44"/>
    </row>
    <row r="72" spans="6:8">
      <c r="F72" s="44"/>
      <c r="G72" s="44"/>
      <c r="H72" s="44"/>
    </row>
    <row r="73" spans="6:8">
      <c r="F73" s="44"/>
      <c r="G73" s="44"/>
      <c r="H73" s="44"/>
    </row>
    <row r="74" spans="6:8">
      <c r="F74" s="44"/>
      <c r="G74" s="44"/>
      <c r="H74" s="44"/>
    </row>
    <row r="75" spans="6:8">
      <c r="F75" s="44"/>
      <c r="G75" s="44"/>
      <c r="H75" s="44"/>
    </row>
    <row r="76" spans="6:8">
      <c r="F76" s="44"/>
      <c r="G76" s="44"/>
      <c r="H76" s="44"/>
    </row>
    <row r="77" spans="6:8">
      <c r="F77" s="44"/>
      <c r="G77" s="44"/>
      <c r="H77" s="44"/>
    </row>
    <row r="78" spans="6:8">
      <c r="F78" s="44"/>
      <c r="G78" s="44"/>
      <c r="H78" s="44"/>
    </row>
    <row r="79" spans="6:8">
      <c r="F79" s="44"/>
      <c r="G79" s="44"/>
      <c r="H79" s="44"/>
    </row>
    <row r="80" spans="6:8">
      <c r="F80" s="44"/>
      <c r="G80" s="44"/>
      <c r="H80" s="44"/>
    </row>
    <row r="81" spans="6:8">
      <c r="F81" s="44"/>
      <c r="G81" s="44"/>
      <c r="H81" s="44"/>
    </row>
    <row r="82" spans="6:8">
      <c r="F82" s="44"/>
      <c r="G82" s="44"/>
      <c r="H82" s="44"/>
    </row>
    <row r="83" spans="6:8">
      <c r="F83" s="44"/>
      <c r="G83" s="44"/>
      <c r="H83" s="44"/>
    </row>
    <row r="84" spans="6:8">
      <c r="F84" s="44"/>
      <c r="G84" s="44"/>
      <c r="H84" s="44"/>
    </row>
    <row r="85" spans="6:8">
      <c r="F85" s="44"/>
      <c r="G85" s="44"/>
      <c r="H85" s="44"/>
    </row>
    <row r="86" spans="6:8">
      <c r="F86" s="44"/>
      <c r="G86" s="44"/>
      <c r="H86" s="44"/>
    </row>
    <row r="87" spans="6:8">
      <c r="F87" s="44"/>
      <c r="G87" s="44"/>
      <c r="H87" s="44"/>
    </row>
    <row r="88" spans="6:8">
      <c r="F88" s="44"/>
      <c r="G88" s="44"/>
      <c r="H88" s="44"/>
    </row>
    <row r="89" spans="6:8">
      <c r="F89" s="44"/>
      <c r="G89" s="44"/>
      <c r="H89" s="44"/>
    </row>
    <row r="90" spans="6:8">
      <c r="F90" s="44"/>
      <c r="G90" s="44"/>
      <c r="H90" s="44"/>
    </row>
    <row r="91" spans="6:8">
      <c r="F91" s="44"/>
      <c r="G91" s="44"/>
      <c r="H91" s="44"/>
    </row>
    <row r="92" spans="6:8">
      <c r="F92" s="44"/>
      <c r="G92" s="44"/>
      <c r="H92" s="44"/>
    </row>
    <row r="93" spans="6:8">
      <c r="F93" s="44"/>
      <c r="G93" s="44"/>
      <c r="H93" s="44"/>
    </row>
    <row r="94" spans="6:8">
      <c r="F94" s="44"/>
      <c r="G94" s="44"/>
      <c r="H94" s="44"/>
    </row>
    <row r="95" spans="6:8">
      <c r="F95" s="44"/>
      <c r="G95" s="44"/>
      <c r="H95" s="44"/>
    </row>
    <row r="96" spans="6:8">
      <c r="F96" s="44"/>
      <c r="G96" s="44"/>
      <c r="H96" s="44"/>
    </row>
    <row r="97" spans="6:8">
      <c r="F97" s="44"/>
      <c r="G97" s="44"/>
      <c r="H97" s="44"/>
    </row>
    <row r="98" spans="6:8">
      <c r="F98" s="44"/>
      <c r="G98" s="44"/>
      <c r="H98" s="44"/>
    </row>
    <row r="99" spans="6:8">
      <c r="F99" s="44"/>
      <c r="G99" s="44"/>
      <c r="H99" s="44"/>
    </row>
    <row r="100" spans="6:8">
      <c r="F100" s="44"/>
      <c r="G100" s="44"/>
      <c r="H100" s="44"/>
    </row>
    <row r="101" spans="6:8">
      <c r="F101" s="44"/>
      <c r="G101" s="44"/>
      <c r="H101" s="44"/>
    </row>
    <row r="102" spans="6:8">
      <c r="F102" s="44"/>
      <c r="G102" s="44"/>
      <c r="H102" s="44"/>
    </row>
    <row r="103" spans="6:8">
      <c r="F103" s="44"/>
      <c r="G103" s="44"/>
      <c r="H103" s="44"/>
    </row>
    <row r="104" spans="6:8">
      <c r="F104" s="44"/>
      <c r="G104" s="44"/>
      <c r="H104" s="44"/>
    </row>
    <row r="105" spans="6:8">
      <c r="F105" s="44"/>
      <c r="G105" s="44"/>
      <c r="H105" s="44"/>
    </row>
    <row r="106" spans="6:8">
      <c r="F106" s="44"/>
      <c r="G106" s="44"/>
      <c r="H106" s="44"/>
    </row>
    <row r="107" spans="6:8">
      <c r="F107" s="44"/>
      <c r="G107" s="44"/>
      <c r="H107" s="44"/>
    </row>
    <row r="108" spans="6:8">
      <c r="F108" s="44"/>
      <c r="G108" s="44"/>
      <c r="H108" s="44"/>
    </row>
    <row r="109" spans="6:8">
      <c r="F109" s="44"/>
      <c r="G109" s="44"/>
      <c r="H109" s="44"/>
    </row>
    <row r="110" spans="6:8">
      <c r="F110" s="44"/>
      <c r="G110" s="44"/>
      <c r="H110" s="44"/>
    </row>
    <row r="111" spans="6:8">
      <c r="F111" s="44"/>
      <c r="G111" s="44"/>
      <c r="H111" s="44"/>
    </row>
    <row r="112" spans="6:8">
      <c r="F112" s="44"/>
      <c r="G112" s="44"/>
      <c r="H112" s="44"/>
    </row>
    <row r="113" spans="6:8">
      <c r="F113" s="44"/>
      <c r="G113" s="44"/>
      <c r="H113" s="44"/>
    </row>
    <row r="114" spans="6:8">
      <c r="F114" s="44"/>
      <c r="G114" s="44"/>
      <c r="H114" s="44"/>
    </row>
    <row r="115" spans="6:8">
      <c r="F115" s="44"/>
      <c r="G115" s="44"/>
      <c r="H115" s="44"/>
    </row>
    <row r="116" spans="6:8">
      <c r="F116" s="44"/>
      <c r="G116" s="44"/>
      <c r="H116" s="44"/>
    </row>
    <row r="117" spans="6:8">
      <c r="F117" s="44"/>
      <c r="G117" s="44"/>
      <c r="H117" s="44"/>
    </row>
    <row r="118" spans="6:8">
      <c r="F118" s="44"/>
      <c r="G118" s="44"/>
      <c r="H118" s="44"/>
    </row>
    <row r="119" spans="6:8">
      <c r="F119" s="44"/>
      <c r="G119" s="44"/>
      <c r="H119" s="44"/>
    </row>
    <row r="120" spans="6:8">
      <c r="F120" s="44"/>
      <c r="G120" s="44"/>
      <c r="H120" s="44"/>
    </row>
    <row r="121" spans="6:8">
      <c r="F121" s="44"/>
      <c r="G121" s="44"/>
      <c r="H121" s="44"/>
    </row>
    <row r="122" spans="6:8">
      <c r="F122" s="44"/>
      <c r="G122" s="44"/>
      <c r="H122" s="44"/>
    </row>
    <row r="123" spans="6:8">
      <c r="F123" s="44"/>
      <c r="G123" s="44"/>
      <c r="H123" s="44"/>
    </row>
    <row r="124" spans="6:8">
      <c r="F124" s="44"/>
      <c r="G124" s="44"/>
      <c r="H124" s="44"/>
    </row>
    <row r="125" spans="6:8">
      <c r="F125" s="44"/>
      <c r="G125" s="44"/>
      <c r="H125" s="44"/>
    </row>
    <row r="126" spans="6:8">
      <c r="F126" s="44"/>
      <c r="G126" s="44"/>
      <c r="H126" s="44"/>
    </row>
    <row r="127" spans="6:8">
      <c r="F127" s="44"/>
      <c r="G127" s="44"/>
      <c r="H127" s="44"/>
    </row>
    <row r="128" spans="6:8">
      <c r="F128" s="44"/>
      <c r="G128" s="44"/>
      <c r="H128" s="44"/>
    </row>
    <row r="129" spans="6:8">
      <c r="F129" s="44"/>
      <c r="G129" s="44"/>
      <c r="H129" s="44"/>
    </row>
    <row r="130" spans="6:8">
      <c r="F130" s="44"/>
      <c r="G130" s="44"/>
      <c r="H130" s="44"/>
    </row>
    <row r="131" spans="6:8">
      <c r="F131" s="44"/>
      <c r="G131" s="44"/>
      <c r="H131" s="44"/>
    </row>
    <row r="132" spans="6:8">
      <c r="F132" s="44"/>
      <c r="G132" s="44"/>
      <c r="H132" s="44"/>
    </row>
    <row r="133" spans="6:8">
      <c r="F133" s="44"/>
      <c r="G133" s="44"/>
      <c r="H133" s="44"/>
    </row>
    <row r="134" spans="6:8">
      <c r="F134" s="44"/>
      <c r="G134" s="44"/>
      <c r="H134" s="44"/>
    </row>
    <row r="135" spans="6:8">
      <c r="F135" s="44"/>
      <c r="G135" s="44"/>
      <c r="H135" s="44"/>
    </row>
    <row r="136" spans="6:8">
      <c r="F136" s="44"/>
      <c r="G136" s="44"/>
      <c r="H136" s="44"/>
    </row>
    <row r="137" spans="6:8">
      <c r="F137" s="44"/>
      <c r="G137" s="44"/>
      <c r="H137" s="44"/>
    </row>
  </sheetData>
  <phoneticPr fontId="2" type="noConversion"/>
  <pageMargins left="0.75" right="0.75" top="1" bottom="1" header="0.5" footer="0.5"/>
  <pageSetup paperSize="9" scale="73" orientation="landscape"/>
  <headerFooter alignWithMargin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17"/>
  <sheetViews>
    <sheetView workbookViewId="0">
      <selection activeCell="F9" sqref="F9"/>
    </sheetView>
  </sheetViews>
  <sheetFormatPr baseColWidth="10" defaultColWidth="9.1640625" defaultRowHeight="13"/>
  <cols>
    <col min="1" max="1" width="24" style="51" customWidth="1"/>
    <col min="2" max="25" width="3.6640625" style="51" customWidth="1"/>
    <col min="26" max="16384" width="9.1640625" style="51"/>
  </cols>
  <sheetData>
    <row r="1" spans="1:25" ht="14">
      <c r="Y1" s="204"/>
    </row>
    <row r="2" spans="1:25" ht="16">
      <c r="C2" s="205" t="s">
        <v>184</v>
      </c>
      <c r="D2" s="206"/>
      <c r="E2" s="206"/>
      <c r="F2" s="206"/>
      <c r="G2" s="206"/>
      <c r="H2" s="206"/>
      <c r="O2" s="207"/>
      <c r="Q2" s="208"/>
    </row>
    <row r="3" spans="1:25" ht="25.5" customHeight="1">
      <c r="A3" s="209" t="s">
        <v>185</v>
      </c>
      <c r="B3" s="269" t="s">
        <v>186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  <c r="N3" s="272" t="s">
        <v>187</v>
      </c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4"/>
    </row>
    <row r="4" spans="1:25">
      <c r="A4" s="209"/>
      <c r="B4" s="210">
        <v>1</v>
      </c>
      <c r="C4" s="210">
        <v>2</v>
      </c>
      <c r="D4" s="210">
        <v>3</v>
      </c>
      <c r="E4" s="210">
        <v>4</v>
      </c>
      <c r="F4" s="210">
        <v>5</v>
      </c>
      <c r="G4" s="210">
        <v>6</v>
      </c>
      <c r="H4" s="210">
        <v>7</v>
      </c>
      <c r="I4" s="210">
        <v>8</v>
      </c>
      <c r="J4" s="210">
        <v>9</v>
      </c>
      <c r="K4" s="210">
        <v>10</v>
      </c>
      <c r="L4" s="210">
        <v>11</v>
      </c>
      <c r="M4" s="210">
        <v>12</v>
      </c>
      <c r="N4" s="210">
        <v>1</v>
      </c>
      <c r="O4" s="210">
        <v>2</v>
      </c>
      <c r="P4" s="210">
        <v>3</v>
      </c>
      <c r="Q4" s="210">
        <v>4</v>
      </c>
      <c r="R4" s="210">
        <v>5</v>
      </c>
      <c r="S4" s="210">
        <v>6</v>
      </c>
      <c r="T4" s="210">
        <v>7</v>
      </c>
      <c r="U4" s="210">
        <v>8</v>
      </c>
      <c r="V4" s="210">
        <v>9</v>
      </c>
      <c r="W4" s="210">
        <v>10</v>
      </c>
      <c r="X4" s="210">
        <v>11</v>
      </c>
      <c r="Y4" s="210">
        <v>12</v>
      </c>
    </row>
    <row r="5" spans="1:25" ht="14">
      <c r="A5" s="211" t="s">
        <v>188</v>
      </c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</row>
    <row r="6" spans="1:25" ht="14">
      <c r="A6" s="211" t="s">
        <v>189</v>
      </c>
      <c r="B6" s="21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</row>
    <row r="7" spans="1:25" ht="14">
      <c r="A7" s="211" t="s">
        <v>190</v>
      </c>
      <c r="B7" s="211"/>
      <c r="C7" s="211"/>
      <c r="D7" s="211"/>
      <c r="E7" s="211"/>
      <c r="F7" s="211"/>
      <c r="G7" s="211"/>
      <c r="H7" s="211"/>
      <c r="I7" s="211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</row>
    <row r="8" spans="1:25" ht="14">
      <c r="A8" s="211" t="s">
        <v>191</v>
      </c>
      <c r="B8" s="248"/>
      <c r="C8" s="247"/>
      <c r="D8" s="247"/>
      <c r="E8" s="211"/>
      <c r="F8" s="211"/>
      <c r="G8" s="211"/>
      <c r="H8" s="211"/>
      <c r="I8" s="211"/>
      <c r="J8" s="248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5" ht="28">
      <c r="A9" s="211" t="s">
        <v>216</v>
      </c>
      <c r="B9" s="248"/>
      <c r="C9" s="212"/>
      <c r="D9" s="212"/>
      <c r="E9" s="248"/>
      <c r="F9" s="248"/>
      <c r="G9" s="248"/>
      <c r="H9" s="248"/>
      <c r="I9" s="248"/>
      <c r="J9" s="248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</row>
    <row r="10" spans="1:25" ht="14">
      <c r="A10" s="211" t="s">
        <v>192</v>
      </c>
      <c r="B10" s="248"/>
      <c r="C10" s="248"/>
      <c r="D10" s="248"/>
      <c r="E10" s="247"/>
      <c r="F10" s="211"/>
      <c r="G10" s="211"/>
      <c r="H10" s="211"/>
      <c r="I10" s="211"/>
      <c r="J10" s="248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5" ht="14">
      <c r="A11" s="211" t="s">
        <v>193</v>
      </c>
      <c r="B11" s="211"/>
      <c r="C11" s="211"/>
      <c r="D11" s="211"/>
      <c r="E11" s="211"/>
      <c r="F11" s="211"/>
      <c r="G11" s="211"/>
      <c r="H11" s="211"/>
      <c r="I11" s="211"/>
      <c r="J11" s="248"/>
      <c r="K11" s="248"/>
      <c r="L11" s="248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ht="14">
      <c r="A12" s="211" t="s">
        <v>194</v>
      </c>
      <c r="B12" s="211"/>
      <c r="C12" s="211"/>
      <c r="D12" s="211"/>
      <c r="E12" s="211"/>
      <c r="F12" s="211"/>
      <c r="G12" s="211"/>
      <c r="H12" s="211"/>
      <c r="I12" s="211"/>
      <c r="J12" s="212"/>
      <c r="K12" s="211"/>
      <c r="L12" s="211"/>
      <c r="M12" s="211"/>
      <c r="N12" s="211"/>
      <c r="O12" s="211"/>
      <c r="P12" s="212"/>
      <c r="Q12" s="211"/>
      <c r="R12" s="211"/>
      <c r="S12" s="211"/>
      <c r="T12" s="211"/>
      <c r="U12" s="211"/>
      <c r="V12" s="212"/>
      <c r="W12" s="211"/>
      <c r="X12" s="211"/>
      <c r="Y12" s="211"/>
    </row>
    <row r="13" spans="1:25" ht="14">
      <c r="A13" s="211" t="s">
        <v>199</v>
      </c>
      <c r="B13" s="247"/>
      <c r="C13" s="247"/>
      <c r="D13" s="247"/>
      <c r="E13" s="247"/>
      <c r="F13" s="247"/>
      <c r="G13" s="247"/>
      <c r="H13" s="247"/>
      <c r="I13" s="247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</row>
    <row r="14" spans="1:25" ht="14">
      <c r="A14" s="211" t="s">
        <v>198</v>
      </c>
      <c r="B14" s="247"/>
      <c r="C14" s="247"/>
      <c r="D14" s="247"/>
      <c r="E14" s="247"/>
      <c r="F14" s="247"/>
      <c r="G14" s="247"/>
      <c r="H14" s="247"/>
      <c r="I14" s="247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</row>
    <row r="15" spans="1:25" ht="14">
      <c r="A15" s="211" t="s">
        <v>195</v>
      </c>
      <c r="B15" s="247"/>
      <c r="C15" s="247"/>
      <c r="D15" s="247"/>
      <c r="E15" s="247"/>
      <c r="F15" s="247"/>
      <c r="G15" s="247"/>
      <c r="H15" s="247"/>
      <c r="I15" s="247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</row>
    <row r="16" spans="1:25" ht="14">
      <c r="A16" s="211" t="s">
        <v>196</v>
      </c>
      <c r="B16" s="247"/>
      <c r="C16" s="247"/>
      <c r="D16" s="247"/>
      <c r="E16" s="247"/>
      <c r="F16" s="247"/>
      <c r="G16" s="247"/>
      <c r="H16" s="247"/>
      <c r="I16" s="247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</row>
    <row r="17" spans="1:25" ht="14">
      <c r="A17" s="211" t="s">
        <v>197</v>
      </c>
      <c r="B17" s="211"/>
      <c r="C17" s="211"/>
      <c r="D17" s="211"/>
      <c r="E17" s="211"/>
      <c r="F17" s="211"/>
      <c r="G17" s="211"/>
      <c r="H17" s="211"/>
      <c r="I17" s="211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</row>
  </sheetData>
  <mergeCells count="2">
    <mergeCell ref="B3:M3"/>
    <mergeCell ref="N3:Y3"/>
  </mergeCells>
  <phoneticPr fontId="54" type="noConversion"/>
  <pageMargins left="0.59055118110236227" right="0.59055118110236227" top="0.59055118110236227" bottom="0.59055118110236227" header="0.11811023622047245" footer="0.11811023622047245"/>
  <pageSetup paperSize="9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9"/>
  <sheetViews>
    <sheetView view="pageLayout" topLeftCell="B1" zoomScale="115" zoomScaleNormal="100" zoomScalePageLayoutView="115" workbookViewId="0">
      <selection activeCell="E19" sqref="E19"/>
    </sheetView>
  </sheetViews>
  <sheetFormatPr baseColWidth="10" defaultColWidth="9.1640625" defaultRowHeight="13"/>
  <cols>
    <col min="1" max="1" width="21.33203125" style="51" customWidth="1"/>
    <col min="2" max="2" width="13.5" style="51" customWidth="1"/>
    <col min="3" max="3" width="11.6640625" style="51" customWidth="1"/>
    <col min="4" max="4" width="12.33203125" style="51" customWidth="1"/>
    <col min="5" max="5" width="12" style="51" customWidth="1"/>
    <col min="6" max="6" width="12.33203125" style="51" customWidth="1"/>
    <col min="7" max="7" width="12.1640625" style="51" customWidth="1"/>
    <col min="8" max="8" width="12.6640625" style="51" bestFit="1" customWidth="1"/>
    <col min="9" max="9" width="12.33203125" style="51" customWidth="1"/>
    <col min="10" max="11" width="11.5" style="51" customWidth="1"/>
    <col min="12" max="12" width="11.83203125" style="51" customWidth="1"/>
    <col min="13" max="13" width="12.1640625" style="51" customWidth="1"/>
    <col min="14" max="14" width="12.83203125" style="51" customWidth="1"/>
    <col min="15" max="15" width="11.5" style="52" bestFit="1" customWidth="1"/>
    <col min="16" max="16384" width="9.1640625" style="51"/>
  </cols>
  <sheetData>
    <row r="1" spans="1:15">
      <c r="B1" s="68" t="s">
        <v>6</v>
      </c>
    </row>
    <row r="2" spans="1:15" ht="8.25" customHeight="1"/>
    <row r="3" spans="1:15">
      <c r="A3" s="49" t="s">
        <v>6</v>
      </c>
      <c r="B3" s="50" t="s">
        <v>69</v>
      </c>
    </row>
    <row r="4" spans="1:15">
      <c r="N4" s="53"/>
    </row>
    <row r="5" spans="1:15">
      <c r="B5" s="52"/>
      <c r="C5" s="51" t="s">
        <v>138</v>
      </c>
      <c r="N5" s="53"/>
    </row>
    <row r="6" spans="1:15">
      <c r="C6" s="51" t="s">
        <v>1</v>
      </c>
      <c r="F6" s="54">
        <v>0</v>
      </c>
      <c r="G6" s="51" t="s">
        <v>2</v>
      </c>
      <c r="H6" s="54">
        <v>0</v>
      </c>
      <c r="I6" s="51" t="s">
        <v>172</v>
      </c>
    </row>
    <row r="7" spans="1:15">
      <c r="C7" s="51" t="s">
        <v>3</v>
      </c>
      <c r="F7" s="55">
        <f>10*12</f>
        <v>120</v>
      </c>
      <c r="G7" s="51" t="s">
        <v>4</v>
      </c>
      <c r="H7" s="54">
        <v>0</v>
      </c>
      <c r="I7" s="51" t="s">
        <v>178</v>
      </c>
    </row>
    <row r="8" spans="1:15">
      <c r="C8" s="51" t="s">
        <v>137</v>
      </c>
      <c r="E8" s="53">
        <v>0</v>
      </c>
      <c r="F8" s="192">
        <f>E8/(E8+E9)</f>
        <v>0</v>
      </c>
    </row>
    <row r="9" spans="1:15">
      <c r="C9" s="51" t="s">
        <v>107</v>
      </c>
      <c r="E9" s="53">
        <v>40000000</v>
      </c>
      <c r="F9" s="192">
        <f>1-F8</f>
        <v>1</v>
      </c>
    </row>
    <row r="10" spans="1:15">
      <c r="C10" s="51" t="s">
        <v>139</v>
      </c>
      <c r="F10" s="190">
        <v>147.72</v>
      </c>
      <c r="G10" s="69"/>
      <c r="H10" s="69"/>
    </row>
    <row r="11" spans="1:15">
      <c r="B11" s="52" t="s">
        <v>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>
      <c r="A12" s="57"/>
      <c r="B12" s="57" t="s">
        <v>7</v>
      </c>
      <c r="C12" s="58" t="s">
        <v>13</v>
      </c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8" t="s">
        <v>21</v>
      </c>
      <c r="L12" s="58" t="s">
        <v>22</v>
      </c>
      <c r="M12" s="58" t="s">
        <v>23</v>
      </c>
      <c r="N12" s="58" t="s">
        <v>24</v>
      </c>
      <c r="O12" s="58" t="s">
        <v>0</v>
      </c>
    </row>
    <row r="13" spans="1:15">
      <c r="A13" s="59" t="s">
        <v>5</v>
      </c>
      <c r="B13" s="60">
        <v>40000000</v>
      </c>
      <c r="C13" s="59"/>
      <c r="N13" s="59"/>
      <c r="O13" s="61"/>
    </row>
    <row r="14" spans="1:15" s="53" customFormat="1">
      <c r="A14" s="62" t="s">
        <v>8</v>
      </c>
      <c r="B14" s="62"/>
      <c r="C14" s="53">
        <f>B13</f>
        <v>40000000</v>
      </c>
      <c r="D14" s="62">
        <f>C14-C15</f>
        <v>40000000</v>
      </c>
      <c r="E14" s="62">
        <f t="shared" ref="E14:N14" si="0">D14-D15</f>
        <v>40000000</v>
      </c>
      <c r="F14" s="62">
        <f t="shared" si="0"/>
        <v>40000000</v>
      </c>
      <c r="G14" s="62">
        <f t="shared" si="0"/>
        <v>40000000</v>
      </c>
      <c r="H14" s="62">
        <f t="shared" si="0"/>
        <v>40000000</v>
      </c>
      <c r="I14" s="62">
        <f t="shared" si="0"/>
        <v>40000000</v>
      </c>
      <c r="J14" s="62">
        <f t="shared" si="0"/>
        <v>40000000</v>
      </c>
      <c r="K14" s="62">
        <f t="shared" si="0"/>
        <v>40000000</v>
      </c>
      <c r="L14" s="62">
        <f t="shared" si="0"/>
        <v>40000000</v>
      </c>
      <c r="M14" s="62">
        <f t="shared" si="0"/>
        <v>40000000</v>
      </c>
      <c r="N14" s="62">
        <f t="shared" si="0"/>
        <v>40000000</v>
      </c>
      <c r="O14" s="63"/>
    </row>
    <row r="15" spans="1:15" s="53" customFormat="1">
      <c r="A15" s="62" t="s">
        <v>9</v>
      </c>
      <c r="B15" s="62"/>
      <c r="C15" s="62"/>
      <c r="D15" s="62"/>
      <c r="E15" s="62"/>
      <c r="F15" s="62"/>
      <c r="G15" s="62"/>
      <c r="H15" s="62"/>
      <c r="I15" s="62">
        <f>((E8/10/12*7)-(E8/10/12))/114+(E8/10/12)</f>
        <v>0</v>
      </c>
      <c r="J15" s="62">
        <f>I15</f>
        <v>0</v>
      </c>
      <c r="K15" s="62">
        <f>J15</f>
        <v>0</v>
      </c>
      <c r="L15" s="62">
        <f>K15</f>
        <v>0</v>
      </c>
      <c r="M15" s="62">
        <f>L15</f>
        <v>0</v>
      </c>
      <c r="N15" s="62">
        <f>M15</f>
        <v>0</v>
      </c>
      <c r="O15" s="63">
        <f>SUM(C15:N15)</f>
        <v>0</v>
      </c>
    </row>
    <row r="16" spans="1:15" s="53" customFormat="1">
      <c r="A16" s="62" t="s">
        <v>10</v>
      </c>
      <c r="B16" s="62"/>
      <c r="C16" s="62">
        <f>E8*F6/12</f>
        <v>0</v>
      </c>
      <c r="D16" s="62">
        <f>C16</f>
        <v>0</v>
      </c>
      <c r="E16" s="62">
        <f t="shared" ref="E16:N16" si="1">D16</f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3">
        <f>SUM(C16:N16)</f>
        <v>0</v>
      </c>
    </row>
    <row r="17" spans="1:15" s="65" customFormat="1">
      <c r="A17" s="64" t="s">
        <v>11</v>
      </c>
      <c r="B17" s="64"/>
      <c r="C17" s="64">
        <f>SUM(C15:C16)</f>
        <v>0</v>
      </c>
      <c r="D17" s="64">
        <f t="shared" ref="D17:N17" si="2">SUM(D15:D16)</f>
        <v>0</v>
      </c>
      <c r="E17" s="64">
        <f t="shared" si="2"/>
        <v>0</v>
      </c>
      <c r="F17" s="64">
        <f t="shared" si="2"/>
        <v>0</v>
      </c>
      <c r="G17" s="64">
        <f t="shared" si="2"/>
        <v>0</v>
      </c>
      <c r="H17" s="64">
        <f t="shared" si="2"/>
        <v>0</v>
      </c>
      <c r="I17" s="64">
        <f t="shared" si="2"/>
        <v>0</v>
      </c>
      <c r="J17" s="64">
        <f t="shared" si="2"/>
        <v>0</v>
      </c>
      <c r="K17" s="64">
        <f t="shared" si="2"/>
        <v>0</v>
      </c>
      <c r="L17" s="64">
        <f t="shared" si="2"/>
        <v>0</v>
      </c>
      <c r="M17" s="64">
        <f t="shared" si="2"/>
        <v>0</v>
      </c>
      <c r="N17" s="64">
        <f t="shared" si="2"/>
        <v>0</v>
      </c>
      <c r="O17" s="63">
        <f>SUM(C17:N17)</f>
        <v>0</v>
      </c>
    </row>
    <row r="18" spans="1:15">
      <c r="B18" s="52" t="s">
        <v>29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6"/>
    </row>
    <row r="19" spans="1:15">
      <c r="A19" s="57"/>
      <c r="B19" s="57" t="s">
        <v>7</v>
      </c>
      <c r="C19" s="58" t="s">
        <v>13</v>
      </c>
      <c r="D19" s="58" t="s">
        <v>14</v>
      </c>
      <c r="E19" s="58" t="s">
        <v>15</v>
      </c>
      <c r="F19" s="58" t="s">
        <v>16</v>
      </c>
      <c r="G19" s="58" t="s">
        <v>17</v>
      </c>
      <c r="H19" s="58" t="s">
        <v>18</v>
      </c>
      <c r="I19" s="58" t="s">
        <v>19</v>
      </c>
      <c r="J19" s="58" t="s">
        <v>20</v>
      </c>
      <c r="K19" s="58" t="s">
        <v>21</v>
      </c>
      <c r="L19" s="58" t="s">
        <v>22</v>
      </c>
      <c r="M19" s="58" t="s">
        <v>23</v>
      </c>
      <c r="N19" s="58" t="s">
        <v>24</v>
      </c>
      <c r="O19" s="58" t="s">
        <v>0</v>
      </c>
    </row>
    <row r="20" spans="1:15">
      <c r="A20" s="59" t="s">
        <v>5</v>
      </c>
      <c r="B20" s="60">
        <f>N14-N15</f>
        <v>40000000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</row>
    <row r="21" spans="1:15" s="53" customFormat="1">
      <c r="A21" s="62" t="s">
        <v>8</v>
      </c>
      <c r="B21" s="62"/>
      <c r="C21" s="62">
        <f>B20</f>
        <v>40000000</v>
      </c>
      <c r="D21" s="62">
        <f>C21-C22</f>
        <v>40000000</v>
      </c>
      <c r="E21" s="62">
        <f t="shared" ref="E21:N21" si="3">D21-D22</f>
        <v>40000000</v>
      </c>
      <c r="F21" s="62">
        <f t="shared" si="3"/>
        <v>40000000</v>
      </c>
      <c r="G21" s="62">
        <f t="shared" si="3"/>
        <v>40000000</v>
      </c>
      <c r="H21" s="62">
        <f t="shared" si="3"/>
        <v>40000000</v>
      </c>
      <c r="I21" s="62">
        <f t="shared" si="3"/>
        <v>40000000</v>
      </c>
      <c r="J21" s="62">
        <f t="shared" si="3"/>
        <v>40000000</v>
      </c>
      <c r="K21" s="62">
        <f t="shared" si="3"/>
        <v>40000000</v>
      </c>
      <c r="L21" s="62">
        <f t="shared" si="3"/>
        <v>40000000</v>
      </c>
      <c r="M21" s="62">
        <f t="shared" si="3"/>
        <v>40000000</v>
      </c>
      <c r="N21" s="62">
        <f t="shared" si="3"/>
        <v>40000000</v>
      </c>
      <c r="O21" s="63"/>
    </row>
    <row r="22" spans="1:15" s="53" customFormat="1">
      <c r="A22" s="62" t="s">
        <v>9</v>
      </c>
      <c r="B22" s="62"/>
      <c r="C22" s="62">
        <f>N15</f>
        <v>0</v>
      </c>
      <c r="D22" s="62">
        <f>C22</f>
        <v>0</v>
      </c>
      <c r="E22" s="62">
        <f t="shared" ref="E22:N22" si="4">D22</f>
        <v>0</v>
      </c>
      <c r="F22" s="62">
        <f t="shared" si="4"/>
        <v>0</v>
      </c>
      <c r="G22" s="62">
        <f t="shared" si="4"/>
        <v>0</v>
      </c>
      <c r="H22" s="62">
        <f t="shared" si="4"/>
        <v>0</v>
      </c>
      <c r="I22" s="62">
        <f t="shared" si="4"/>
        <v>0</v>
      </c>
      <c r="J22" s="62">
        <f t="shared" si="4"/>
        <v>0</v>
      </c>
      <c r="K22" s="62">
        <f t="shared" si="4"/>
        <v>0</v>
      </c>
      <c r="L22" s="62">
        <f t="shared" si="4"/>
        <v>0</v>
      </c>
      <c r="M22" s="62">
        <f t="shared" si="4"/>
        <v>0</v>
      </c>
      <c r="N22" s="62">
        <f t="shared" si="4"/>
        <v>0</v>
      </c>
      <c r="O22" s="63">
        <f>SUM(C22:N22)</f>
        <v>0</v>
      </c>
    </row>
    <row r="23" spans="1:15" s="53" customFormat="1">
      <c r="A23" s="62" t="s">
        <v>10</v>
      </c>
      <c r="B23" s="62"/>
      <c r="C23" s="62">
        <f>B20*F6/12</f>
        <v>0</v>
      </c>
      <c r="D23" s="62">
        <f>C23</f>
        <v>0</v>
      </c>
      <c r="E23" s="62">
        <f t="shared" ref="E23:N23" si="5">D23</f>
        <v>0</v>
      </c>
      <c r="F23" s="62">
        <f t="shared" si="5"/>
        <v>0</v>
      </c>
      <c r="G23" s="62">
        <f t="shared" si="5"/>
        <v>0</v>
      </c>
      <c r="H23" s="62">
        <f t="shared" si="5"/>
        <v>0</v>
      </c>
      <c r="I23" s="62">
        <f t="shared" si="5"/>
        <v>0</v>
      </c>
      <c r="J23" s="62">
        <f t="shared" si="5"/>
        <v>0</v>
      </c>
      <c r="K23" s="62">
        <f t="shared" si="5"/>
        <v>0</v>
      </c>
      <c r="L23" s="62">
        <f t="shared" si="5"/>
        <v>0</v>
      </c>
      <c r="M23" s="62">
        <f t="shared" si="5"/>
        <v>0</v>
      </c>
      <c r="N23" s="62">
        <f t="shared" si="5"/>
        <v>0</v>
      </c>
      <c r="O23" s="63">
        <f>SUM(C23:N23)</f>
        <v>0</v>
      </c>
    </row>
    <row r="24" spans="1:15" s="65" customFormat="1">
      <c r="A24" s="64" t="s">
        <v>11</v>
      </c>
      <c r="B24" s="64"/>
      <c r="C24" s="64">
        <f>SUM(C22:C23)</f>
        <v>0</v>
      </c>
      <c r="D24" s="64">
        <f t="shared" ref="D24:N24" si="6">SUM(D22:D23)</f>
        <v>0</v>
      </c>
      <c r="E24" s="64">
        <f t="shared" si="6"/>
        <v>0</v>
      </c>
      <c r="F24" s="64">
        <f t="shared" si="6"/>
        <v>0</v>
      </c>
      <c r="G24" s="64">
        <f t="shared" si="6"/>
        <v>0</v>
      </c>
      <c r="H24" s="64">
        <f t="shared" si="6"/>
        <v>0</v>
      </c>
      <c r="I24" s="64">
        <f t="shared" si="6"/>
        <v>0</v>
      </c>
      <c r="J24" s="64">
        <f t="shared" si="6"/>
        <v>0</v>
      </c>
      <c r="K24" s="64">
        <f t="shared" si="6"/>
        <v>0</v>
      </c>
      <c r="L24" s="64">
        <f t="shared" si="6"/>
        <v>0</v>
      </c>
      <c r="M24" s="64">
        <f t="shared" si="6"/>
        <v>0</v>
      </c>
      <c r="N24" s="64">
        <f t="shared" si="6"/>
        <v>0</v>
      </c>
      <c r="O24" s="64">
        <f>SUM(C24:N24)</f>
        <v>0</v>
      </c>
    </row>
    <row r="25" spans="1:15">
      <c r="B25" s="52" t="s">
        <v>30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5">
      <c r="A26" s="57"/>
      <c r="B26" s="57" t="s">
        <v>7</v>
      </c>
      <c r="C26" s="58" t="s">
        <v>13</v>
      </c>
      <c r="D26" s="58" t="s">
        <v>14</v>
      </c>
      <c r="E26" s="58" t="s">
        <v>15</v>
      </c>
      <c r="F26" s="58" t="s">
        <v>16</v>
      </c>
      <c r="G26" s="58" t="s">
        <v>17</v>
      </c>
      <c r="H26" s="58" t="s">
        <v>18</v>
      </c>
      <c r="I26" s="58" t="s">
        <v>19</v>
      </c>
      <c r="J26" s="58" t="s">
        <v>20</v>
      </c>
      <c r="K26" s="58" t="s">
        <v>21</v>
      </c>
      <c r="L26" s="58" t="s">
        <v>22</v>
      </c>
      <c r="M26" s="58" t="s">
        <v>23</v>
      </c>
      <c r="N26" s="58" t="s">
        <v>24</v>
      </c>
      <c r="O26" s="58" t="s">
        <v>0</v>
      </c>
    </row>
    <row r="27" spans="1:15">
      <c r="A27" s="59" t="s">
        <v>5</v>
      </c>
      <c r="B27" s="60">
        <f>N21-N22</f>
        <v>40000000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</row>
    <row r="28" spans="1:15" s="53" customFormat="1">
      <c r="A28" s="62" t="s">
        <v>8</v>
      </c>
      <c r="B28" s="62"/>
      <c r="C28" s="62">
        <f>B27</f>
        <v>40000000</v>
      </c>
      <c r="D28" s="62">
        <f>C28-C29</f>
        <v>40000000</v>
      </c>
      <c r="E28" s="62">
        <f t="shared" ref="E28:N28" si="7">D28-D29</f>
        <v>40000000</v>
      </c>
      <c r="F28" s="62">
        <f t="shared" si="7"/>
        <v>40000000</v>
      </c>
      <c r="G28" s="62">
        <f t="shared" si="7"/>
        <v>40000000</v>
      </c>
      <c r="H28" s="62">
        <f t="shared" si="7"/>
        <v>40000000</v>
      </c>
      <c r="I28" s="62">
        <f t="shared" si="7"/>
        <v>40000000</v>
      </c>
      <c r="J28" s="62">
        <f t="shared" si="7"/>
        <v>40000000</v>
      </c>
      <c r="K28" s="62">
        <f t="shared" si="7"/>
        <v>40000000</v>
      </c>
      <c r="L28" s="62">
        <f t="shared" si="7"/>
        <v>40000000</v>
      </c>
      <c r="M28" s="62">
        <f t="shared" si="7"/>
        <v>40000000</v>
      </c>
      <c r="N28" s="62">
        <f t="shared" si="7"/>
        <v>40000000</v>
      </c>
      <c r="O28" s="63"/>
    </row>
    <row r="29" spans="1:15" s="53" customFormat="1">
      <c r="A29" s="62" t="s">
        <v>9</v>
      </c>
      <c r="B29" s="62"/>
      <c r="C29" s="62">
        <f>C22</f>
        <v>0</v>
      </c>
      <c r="D29" s="62">
        <f>C29</f>
        <v>0</v>
      </c>
      <c r="E29" s="62">
        <f t="shared" ref="E29:N29" si="8">D29</f>
        <v>0</v>
      </c>
      <c r="F29" s="62">
        <f t="shared" si="8"/>
        <v>0</v>
      </c>
      <c r="G29" s="62">
        <f t="shared" si="8"/>
        <v>0</v>
      </c>
      <c r="H29" s="62">
        <f t="shared" si="8"/>
        <v>0</v>
      </c>
      <c r="I29" s="62">
        <f t="shared" si="8"/>
        <v>0</v>
      </c>
      <c r="J29" s="62">
        <f t="shared" si="8"/>
        <v>0</v>
      </c>
      <c r="K29" s="62">
        <f t="shared" si="8"/>
        <v>0</v>
      </c>
      <c r="L29" s="62">
        <f t="shared" si="8"/>
        <v>0</v>
      </c>
      <c r="M29" s="62">
        <f t="shared" si="8"/>
        <v>0</v>
      </c>
      <c r="N29" s="62">
        <f t="shared" si="8"/>
        <v>0</v>
      </c>
      <c r="O29" s="63">
        <f>SUM(C29:N29)</f>
        <v>0</v>
      </c>
    </row>
    <row r="30" spans="1:15" s="53" customFormat="1">
      <c r="A30" s="62" t="s">
        <v>10</v>
      </c>
      <c r="B30" s="62"/>
      <c r="C30" s="62">
        <f>B27*F6/12</f>
        <v>0</v>
      </c>
      <c r="D30" s="62">
        <f>C30</f>
        <v>0</v>
      </c>
      <c r="E30" s="62">
        <f t="shared" ref="E30:N30" si="9">D30</f>
        <v>0</v>
      </c>
      <c r="F30" s="62">
        <f t="shared" si="9"/>
        <v>0</v>
      </c>
      <c r="G30" s="62">
        <f t="shared" si="9"/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3">
        <f>SUM(C30:N30)</f>
        <v>0</v>
      </c>
    </row>
    <row r="31" spans="1:15" s="65" customFormat="1">
      <c r="A31" s="64" t="s">
        <v>11</v>
      </c>
      <c r="B31" s="64"/>
      <c r="C31" s="64">
        <f>SUM(C29:C30)</f>
        <v>0</v>
      </c>
      <c r="D31" s="64">
        <f t="shared" ref="D31:N31" si="10">SUM(D29:D30)</f>
        <v>0</v>
      </c>
      <c r="E31" s="64">
        <f t="shared" si="10"/>
        <v>0</v>
      </c>
      <c r="F31" s="64">
        <f t="shared" si="10"/>
        <v>0</v>
      </c>
      <c r="G31" s="64">
        <f t="shared" si="10"/>
        <v>0</v>
      </c>
      <c r="H31" s="64">
        <f t="shared" si="10"/>
        <v>0</v>
      </c>
      <c r="I31" s="64">
        <f t="shared" si="10"/>
        <v>0</v>
      </c>
      <c r="J31" s="64">
        <f t="shared" si="10"/>
        <v>0</v>
      </c>
      <c r="K31" s="64">
        <f t="shared" si="10"/>
        <v>0</v>
      </c>
      <c r="L31" s="64">
        <f t="shared" si="10"/>
        <v>0</v>
      </c>
      <c r="M31" s="64">
        <f t="shared" si="10"/>
        <v>0</v>
      </c>
      <c r="N31" s="64">
        <f t="shared" si="10"/>
        <v>0</v>
      </c>
      <c r="O31" s="64">
        <f>SUM(C31:N31)</f>
        <v>0</v>
      </c>
    </row>
    <row r="32" spans="1:15">
      <c r="B32" s="52" t="s">
        <v>31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5">
      <c r="A33" s="57"/>
      <c r="B33" s="57" t="s">
        <v>7</v>
      </c>
      <c r="C33" s="58" t="s">
        <v>13</v>
      </c>
      <c r="D33" s="58" t="s">
        <v>14</v>
      </c>
      <c r="E33" s="58" t="s">
        <v>15</v>
      </c>
      <c r="F33" s="58" t="s">
        <v>16</v>
      </c>
      <c r="G33" s="58" t="s">
        <v>17</v>
      </c>
      <c r="H33" s="58" t="s">
        <v>18</v>
      </c>
      <c r="I33" s="58" t="s">
        <v>19</v>
      </c>
      <c r="J33" s="58" t="s">
        <v>20</v>
      </c>
      <c r="K33" s="58" t="s">
        <v>21</v>
      </c>
      <c r="L33" s="58" t="s">
        <v>22</v>
      </c>
      <c r="M33" s="58" t="s">
        <v>23</v>
      </c>
      <c r="N33" s="58" t="s">
        <v>24</v>
      </c>
      <c r="O33" s="58" t="s">
        <v>0</v>
      </c>
    </row>
    <row r="34" spans="1:15">
      <c r="A34" s="59" t="s">
        <v>5</v>
      </c>
      <c r="B34" s="60">
        <f>N28-N29</f>
        <v>40000000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</row>
    <row r="35" spans="1:15">
      <c r="A35" s="62" t="s">
        <v>8</v>
      </c>
      <c r="B35" s="62"/>
      <c r="C35" s="62">
        <f>B34</f>
        <v>40000000</v>
      </c>
      <c r="D35" s="62">
        <f>C35-C36</f>
        <v>40000000</v>
      </c>
      <c r="E35" s="62">
        <f t="shared" ref="E35:N35" si="11">D35-D36</f>
        <v>40000000</v>
      </c>
      <c r="F35" s="62">
        <f t="shared" si="11"/>
        <v>40000000</v>
      </c>
      <c r="G35" s="62">
        <f t="shared" si="11"/>
        <v>40000000</v>
      </c>
      <c r="H35" s="62">
        <f t="shared" si="11"/>
        <v>40000000</v>
      </c>
      <c r="I35" s="62">
        <f t="shared" si="11"/>
        <v>40000000</v>
      </c>
      <c r="J35" s="62">
        <f t="shared" si="11"/>
        <v>40000000</v>
      </c>
      <c r="K35" s="62">
        <f t="shared" si="11"/>
        <v>40000000</v>
      </c>
      <c r="L35" s="62">
        <f t="shared" si="11"/>
        <v>40000000</v>
      </c>
      <c r="M35" s="62">
        <f t="shared" si="11"/>
        <v>40000000</v>
      </c>
      <c r="N35" s="62">
        <f t="shared" si="11"/>
        <v>40000000</v>
      </c>
      <c r="O35" s="63"/>
    </row>
    <row r="36" spans="1:15">
      <c r="A36" s="62" t="s">
        <v>9</v>
      </c>
      <c r="B36" s="62"/>
      <c r="C36" s="62">
        <f>C29</f>
        <v>0</v>
      </c>
      <c r="D36" s="62">
        <f>C36</f>
        <v>0</v>
      </c>
      <c r="E36" s="62">
        <f t="shared" ref="E36:N36" si="12">D36</f>
        <v>0</v>
      </c>
      <c r="F36" s="62">
        <f t="shared" si="12"/>
        <v>0</v>
      </c>
      <c r="G36" s="62">
        <f t="shared" si="12"/>
        <v>0</v>
      </c>
      <c r="H36" s="62">
        <f t="shared" si="12"/>
        <v>0</v>
      </c>
      <c r="I36" s="62">
        <f t="shared" si="12"/>
        <v>0</v>
      </c>
      <c r="J36" s="62">
        <f t="shared" si="12"/>
        <v>0</v>
      </c>
      <c r="K36" s="62">
        <f t="shared" si="12"/>
        <v>0</v>
      </c>
      <c r="L36" s="62">
        <f t="shared" si="12"/>
        <v>0</v>
      </c>
      <c r="M36" s="62">
        <f t="shared" si="12"/>
        <v>0</v>
      </c>
      <c r="N36" s="62">
        <f t="shared" si="12"/>
        <v>0</v>
      </c>
      <c r="O36" s="63">
        <f>SUM(C36:N36)</f>
        <v>0</v>
      </c>
    </row>
    <row r="37" spans="1:15">
      <c r="A37" s="62" t="s">
        <v>10</v>
      </c>
      <c r="B37" s="62"/>
      <c r="C37" s="62">
        <f>B34*F6/12</f>
        <v>0</v>
      </c>
      <c r="D37" s="62">
        <f>C37</f>
        <v>0</v>
      </c>
      <c r="E37" s="62">
        <f t="shared" ref="E37:N37" si="13">D37</f>
        <v>0</v>
      </c>
      <c r="F37" s="62">
        <f t="shared" si="13"/>
        <v>0</v>
      </c>
      <c r="G37" s="62">
        <f t="shared" si="13"/>
        <v>0</v>
      </c>
      <c r="H37" s="62">
        <f t="shared" si="13"/>
        <v>0</v>
      </c>
      <c r="I37" s="62">
        <f t="shared" si="13"/>
        <v>0</v>
      </c>
      <c r="J37" s="62">
        <f t="shared" si="13"/>
        <v>0</v>
      </c>
      <c r="K37" s="62">
        <f t="shared" si="13"/>
        <v>0</v>
      </c>
      <c r="L37" s="62">
        <f t="shared" si="13"/>
        <v>0</v>
      </c>
      <c r="M37" s="62">
        <f t="shared" si="13"/>
        <v>0</v>
      </c>
      <c r="N37" s="62">
        <f t="shared" si="13"/>
        <v>0</v>
      </c>
      <c r="O37" s="63">
        <f>SUM(C37:N37)</f>
        <v>0</v>
      </c>
    </row>
    <row r="38" spans="1:15">
      <c r="A38" s="64" t="s">
        <v>11</v>
      </c>
      <c r="B38" s="64"/>
      <c r="C38" s="64">
        <f>SUM(C36:C37)</f>
        <v>0</v>
      </c>
      <c r="D38" s="64">
        <f t="shared" ref="D38:N38" si="14">SUM(D36:D37)</f>
        <v>0</v>
      </c>
      <c r="E38" s="64">
        <f t="shared" si="14"/>
        <v>0</v>
      </c>
      <c r="F38" s="64">
        <f t="shared" si="14"/>
        <v>0</v>
      </c>
      <c r="G38" s="64">
        <f t="shared" si="14"/>
        <v>0</v>
      </c>
      <c r="H38" s="64">
        <f t="shared" si="14"/>
        <v>0</v>
      </c>
      <c r="I38" s="64">
        <f t="shared" si="14"/>
        <v>0</v>
      </c>
      <c r="J38" s="64">
        <f t="shared" si="14"/>
        <v>0</v>
      </c>
      <c r="K38" s="64">
        <f t="shared" si="14"/>
        <v>0</v>
      </c>
      <c r="L38" s="64">
        <f t="shared" si="14"/>
        <v>0</v>
      </c>
      <c r="M38" s="64">
        <f t="shared" si="14"/>
        <v>0</v>
      </c>
      <c r="N38" s="64">
        <f t="shared" si="14"/>
        <v>0</v>
      </c>
      <c r="O38" s="64">
        <f>SUM(C38:N38)</f>
        <v>0</v>
      </c>
    </row>
    <row r="39" spans="1:15">
      <c r="B39" s="52" t="s">
        <v>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5">
      <c r="A40" s="57"/>
      <c r="B40" s="57" t="s">
        <v>7</v>
      </c>
      <c r="C40" s="58" t="s">
        <v>13</v>
      </c>
      <c r="D40" s="58" t="s">
        <v>14</v>
      </c>
      <c r="E40" s="58" t="s">
        <v>15</v>
      </c>
      <c r="F40" s="58" t="s">
        <v>16</v>
      </c>
      <c r="G40" s="58" t="s">
        <v>17</v>
      </c>
      <c r="H40" s="58" t="s">
        <v>18</v>
      </c>
      <c r="I40" s="58" t="s">
        <v>19</v>
      </c>
      <c r="J40" s="58" t="s">
        <v>20</v>
      </c>
      <c r="K40" s="58" t="s">
        <v>21</v>
      </c>
      <c r="L40" s="58" t="s">
        <v>22</v>
      </c>
      <c r="M40" s="58" t="s">
        <v>23</v>
      </c>
      <c r="N40" s="58" t="s">
        <v>24</v>
      </c>
      <c r="O40" s="58" t="s">
        <v>0</v>
      </c>
    </row>
    <row r="41" spans="1:15">
      <c r="A41" s="59" t="s">
        <v>5</v>
      </c>
      <c r="B41" s="60">
        <f>N35-N36</f>
        <v>40000000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1"/>
    </row>
    <row r="42" spans="1:15">
      <c r="A42" s="62" t="s">
        <v>8</v>
      </c>
      <c r="B42" s="62"/>
      <c r="C42" s="62">
        <f>B41</f>
        <v>40000000</v>
      </c>
      <c r="D42" s="62">
        <f>C42-C43</f>
        <v>40000000</v>
      </c>
      <c r="E42" s="62">
        <f t="shared" ref="E42:N42" si="15">D42-D43</f>
        <v>40000000</v>
      </c>
      <c r="F42" s="62">
        <f t="shared" si="15"/>
        <v>40000000</v>
      </c>
      <c r="G42" s="62">
        <f t="shared" si="15"/>
        <v>40000000</v>
      </c>
      <c r="H42" s="62">
        <f t="shared" si="15"/>
        <v>40000000</v>
      </c>
      <c r="I42" s="62">
        <f t="shared" si="15"/>
        <v>40000000</v>
      </c>
      <c r="J42" s="62">
        <f t="shared" si="15"/>
        <v>40000000</v>
      </c>
      <c r="K42" s="62">
        <f t="shared" si="15"/>
        <v>40000000</v>
      </c>
      <c r="L42" s="62">
        <f t="shared" si="15"/>
        <v>40000000</v>
      </c>
      <c r="M42" s="62">
        <f t="shared" si="15"/>
        <v>40000000</v>
      </c>
      <c r="N42" s="62">
        <f t="shared" si="15"/>
        <v>40000000</v>
      </c>
      <c r="O42" s="63"/>
    </row>
    <row r="43" spans="1:15">
      <c r="A43" s="62" t="s">
        <v>9</v>
      </c>
      <c r="B43" s="62"/>
      <c r="C43" s="62">
        <f>C36</f>
        <v>0</v>
      </c>
      <c r="D43" s="62">
        <f>C43</f>
        <v>0</v>
      </c>
      <c r="E43" s="62">
        <f t="shared" ref="E43:N43" si="16">D43</f>
        <v>0</v>
      </c>
      <c r="F43" s="62">
        <f t="shared" si="16"/>
        <v>0</v>
      </c>
      <c r="G43" s="62">
        <f t="shared" si="16"/>
        <v>0</v>
      </c>
      <c r="H43" s="62">
        <f t="shared" si="16"/>
        <v>0</v>
      </c>
      <c r="I43" s="62">
        <f t="shared" si="16"/>
        <v>0</v>
      </c>
      <c r="J43" s="62">
        <f t="shared" si="16"/>
        <v>0</v>
      </c>
      <c r="K43" s="62">
        <f t="shared" si="16"/>
        <v>0</v>
      </c>
      <c r="L43" s="62">
        <f t="shared" si="16"/>
        <v>0</v>
      </c>
      <c r="M43" s="62">
        <f t="shared" si="16"/>
        <v>0</v>
      </c>
      <c r="N43" s="62">
        <f t="shared" si="16"/>
        <v>0</v>
      </c>
      <c r="O43" s="63">
        <f>SUM(C43:N43)</f>
        <v>0</v>
      </c>
    </row>
    <row r="44" spans="1:15">
      <c r="A44" s="62" t="s">
        <v>10</v>
      </c>
      <c r="B44" s="62"/>
      <c r="C44" s="62">
        <f>B41*F6/12</f>
        <v>0</v>
      </c>
      <c r="D44" s="62">
        <f>C44</f>
        <v>0</v>
      </c>
      <c r="E44" s="62">
        <f t="shared" ref="E44:N44" si="17">D44</f>
        <v>0</v>
      </c>
      <c r="F44" s="62">
        <f t="shared" si="17"/>
        <v>0</v>
      </c>
      <c r="G44" s="62">
        <f t="shared" si="17"/>
        <v>0</v>
      </c>
      <c r="H44" s="62">
        <f t="shared" si="17"/>
        <v>0</v>
      </c>
      <c r="I44" s="62">
        <f t="shared" si="17"/>
        <v>0</v>
      </c>
      <c r="J44" s="62">
        <f t="shared" si="17"/>
        <v>0</v>
      </c>
      <c r="K44" s="62">
        <f t="shared" si="17"/>
        <v>0</v>
      </c>
      <c r="L44" s="62">
        <f t="shared" si="17"/>
        <v>0</v>
      </c>
      <c r="M44" s="62">
        <f t="shared" si="17"/>
        <v>0</v>
      </c>
      <c r="N44" s="62">
        <f t="shared" si="17"/>
        <v>0</v>
      </c>
      <c r="O44" s="63">
        <f>SUM(C44:N44)</f>
        <v>0</v>
      </c>
    </row>
    <row r="45" spans="1:15">
      <c r="A45" s="64" t="s">
        <v>11</v>
      </c>
      <c r="B45" s="64"/>
      <c r="C45" s="64">
        <f t="shared" ref="C45:N45" si="18">SUM(C43:C44)</f>
        <v>0</v>
      </c>
      <c r="D45" s="64">
        <f t="shared" si="18"/>
        <v>0</v>
      </c>
      <c r="E45" s="64">
        <f t="shared" si="18"/>
        <v>0</v>
      </c>
      <c r="F45" s="64">
        <f t="shared" si="18"/>
        <v>0</v>
      </c>
      <c r="G45" s="64">
        <f t="shared" si="18"/>
        <v>0</v>
      </c>
      <c r="H45" s="64">
        <f t="shared" si="18"/>
        <v>0</v>
      </c>
      <c r="I45" s="64">
        <f t="shared" si="18"/>
        <v>0</v>
      </c>
      <c r="J45" s="64">
        <f t="shared" si="18"/>
        <v>0</v>
      </c>
      <c r="K45" s="64">
        <f t="shared" si="18"/>
        <v>0</v>
      </c>
      <c r="L45" s="64">
        <f t="shared" si="18"/>
        <v>0</v>
      </c>
      <c r="M45" s="64">
        <f t="shared" si="18"/>
        <v>0</v>
      </c>
      <c r="N45" s="64">
        <f t="shared" si="18"/>
        <v>0</v>
      </c>
      <c r="O45" s="64">
        <f>SUM(C45:N45)</f>
        <v>0</v>
      </c>
    </row>
    <row r="46" spans="1:15">
      <c r="B46" s="52" t="s">
        <v>118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>
      <c r="A47" s="57"/>
      <c r="B47" s="57" t="s">
        <v>7</v>
      </c>
      <c r="C47" s="58" t="s">
        <v>13</v>
      </c>
      <c r="D47" s="58" t="s">
        <v>14</v>
      </c>
      <c r="E47" s="58" t="s">
        <v>15</v>
      </c>
      <c r="F47" s="58" t="s">
        <v>16</v>
      </c>
      <c r="G47" s="58" t="s">
        <v>17</v>
      </c>
      <c r="H47" s="58" t="s">
        <v>18</v>
      </c>
      <c r="I47" s="58" t="s">
        <v>19</v>
      </c>
      <c r="J47" s="58" t="s">
        <v>20</v>
      </c>
      <c r="K47" s="58" t="s">
        <v>21</v>
      </c>
      <c r="L47" s="58" t="s">
        <v>22</v>
      </c>
      <c r="M47" s="58" t="s">
        <v>23</v>
      </c>
      <c r="N47" s="58" t="s">
        <v>24</v>
      </c>
      <c r="O47" s="58" t="s">
        <v>0</v>
      </c>
    </row>
    <row r="48" spans="1:15">
      <c r="A48" s="59" t="s">
        <v>5</v>
      </c>
      <c r="B48" s="60">
        <f>N42-N43</f>
        <v>40000000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1"/>
    </row>
    <row r="49" spans="1:15">
      <c r="A49" s="62" t="s">
        <v>8</v>
      </c>
      <c r="B49" s="62"/>
      <c r="C49" s="62">
        <f>B48</f>
        <v>40000000</v>
      </c>
      <c r="D49" s="62">
        <f>C49-C50</f>
        <v>40000000</v>
      </c>
      <c r="E49" s="62">
        <f t="shared" ref="E49:N49" si="19">D49-D50</f>
        <v>40000000</v>
      </c>
      <c r="F49" s="62">
        <f t="shared" si="19"/>
        <v>40000000</v>
      </c>
      <c r="G49" s="62">
        <f t="shared" si="19"/>
        <v>40000000</v>
      </c>
      <c r="H49" s="62">
        <f t="shared" si="19"/>
        <v>40000000</v>
      </c>
      <c r="I49" s="62">
        <f t="shared" si="19"/>
        <v>40000000</v>
      </c>
      <c r="J49" s="62">
        <f t="shared" si="19"/>
        <v>40000000</v>
      </c>
      <c r="K49" s="62">
        <f t="shared" si="19"/>
        <v>40000000</v>
      </c>
      <c r="L49" s="62">
        <f t="shared" si="19"/>
        <v>40000000</v>
      </c>
      <c r="M49" s="62">
        <f t="shared" si="19"/>
        <v>40000000</v>
      </c>
      <c r="N49" s="62">
        <f t="shared" si="19"/>
        <v>40000000</v>
      </c>
      <c r="O49" s="90"/>
    </row>
    <row r="50" spans="1:15">
      <c r="A50" s="62" t="s">
        <v>9</v>
      </c>
      <c r="B50" s="62"/>
      <c r="C50" s="62">
        <f>C43</f>
        <v>0</v>
      </c>
      <c r="D50" s="62">
        <f>C50</f>
        <v>0</v>
      </c>
      <c r="E50" s="62">
        <f t="shared" ref="E50:N50" si="20">D50</f>
        <v>0</v>
      </c>
      <c r="F50" s="62">
        <f t="shared" si="20"/>
        <v>0</v>
      </c>
      <c r="G50" s="62">
        <f t="shared" si="20"/>
        <v>0</v>
      </c>
      <c r="H50" s="62">
        <f t="shared" si="20"/>
        <v>0</v>
      </c>
      <c r="I50" s="62">
        <f t="shared" si="20"/>
        <v>0</v>
      </c>
      <c r="J50" s="62">
        <f t="shared" si="20"/>
        <v>0</v>
      </c>
      <c r="K50" s="62">
        <f t="shared" si="20"/>
        <v>0</v>
      </c>
      <c r="L50" s="62">
        <f t="shared" si="20"/>
        <v>0</v>
      </c>
      <c r="M50" s="62">
        <f t="shared" si="20"/>
        <v>0</v>
      </c>
      <c r="N50" s="62">
        <f t="shared" si="20"/>
        <v>0</v>
      </c>
      <c r="O50" s="63">
        <f>SUM(C50:N50)</f>
        <v>0</v>
      </c>
    </row>
    <row r="51" spans="1:15">
      <c r="A51" s="62" t="s">
        <v>10</v>
      </c>
      <c r="C51" s="62">
        <f>B48*F6/12</f>
        <v>0</v>
      </c>
      <c r="D51" s="62">
        <f>C51</f>
        <v>0</v>
      </c>
      <c r="E51" s="62">
        <f t="shared" ref="E51:N51" si="21">D51</f>
        <v>0</v>
      </c>
      <c r="F51" s="62">
        <f t="shared" si="21"/>
        <v>0</v>
      </c>
      <c r="G51" s="62">
        <f t="shared" si="21"/>
        <v>0</v>
      </c>
      <c r="H51" s="62">
        <f t="shared" si="21"/>
        <v>0</v>
      </c>
      <c r="I51" s="62">
        <f t="shared" si="21"/>
        <v>0</v>
      </c>
      <c r="J51" s="62">
        <f t="shared" si="21"/>
        <v>0</v>
      </c>
      <c r="K51" s="62">
        <f t="shared" si="21"/>
        <v>0</v>
      </c>
      <c r="L51" s="62">
        <f t="shared" si="21"/>
        <v>0</v>
      </c>
      <c r="M51" s="62">
        <f t="shared" si="21"/>
        <v>0</v>
      </c>
      <c r="N51" s="62">
        <f t="shared" si="21"/>
        <v>0</v>
      </c>
      <c r="O51" s="63">
        <f>SUM(C51:N51)</f>
        <v>0</v>
      </c>
    </row>
    <row r="52" spans="1:15">
      <c r="A52" s="64" t="s">
        <v>11</v>
      </c>
      <c r="B52" s="64"/>
      <c r="C52" s="64">
        <f t="shared" ref="C52:N52" si="22">SUM(C50:C51)</f>
        <v>0</v>
      </c>
      <c r="D52" s="64">
        <f t="shared" si="22"/>
        <v>0</v>
      </c>
      <c r="E52" s="64">
        <f t="shared" si="22"/>
        <v>0</v>
      </c>
      <c r="F52" s="64">
        <f t="shared" si="22"/>
        <v>0</v>
      </c>
      <c r="G52" s="64">
        <f t="shared" si="22"/>
        <v>0</v>
      </c>
      <c r="H52" s="64">
        <f t="shared" si="22"/>
        <v>0</v>
      </c>
      <c r="I52" s="64">
        <f t="shared" si="22"/>
        <v>0</v>
      </c>
      <c r="J52" s="64">
        <f t="shared" si="22"/>
        <v>0</v>
      </c>
      <c r="K52" s="64">
        <f t="shared" si="22"/>
        <v>0</v>
      </c>
      <c r="L52" s="64">
        <f t="shared" si="22"/>
        <v>0</v>
      </c>
      <c r="M52" s="64">
        <f t="shared" si="22"/>
        <v>0</v>
      </c>
      <c r="N52" s="64">
        <f t="shared" si="22"/>
        <v>0</v>
      </c>
      <c r="O52" s="64">
        <f>SUM(C52:N52)</f>
        <v>0</v>
      </c>
    </row>
    <row r="53" spans="1:15">
      <c r="B53" s="52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5">
      <c r="A54" s="57"/>
      <c r="B54" s="57" t="s">
        <v>7</v>
      </c>
      <c r="C54" s="58" t="s">
        <v>13</v>
      </c>
      <c r="D54" s="58" t="s">
        <v>14</v>
      </c>
      <c r="E54" s="58" t="s">
        <v>15</v>
      </c>
      <c r="F54" s="58" t="s">
        <v>16</v>
      </c>
      <c r="G54" s="58" t="s">
        <v>17</v>
      </c>
      <c r="H54" s="58" t="s">
        <v>18</v>
      </c>
      <c r="I54" s="58" t="s">
        <v>19</v>
      </c>
      <c r="J54" s="58" t="s">
        <v>20</v>
      </c>
      <c r="K54" s="58" t="s">
        <v>21</v>
      </c>
      <c r="L54" s="58" t="s">
        <v>22</v>
      </c>
      <c r="M54" s="58" t="s">
        <v>23</v>
      </c>
      <c r="N54" s="58" t="s">
        <v>24</v>
      </c>
      <c r="O54" s="58" t="s">
        <v>0</v>
      </c>
    </row>
    <row r="55" spans="1:15">
      <c r="A55" s="59" t="s">
        <v>5</v>
      </c>
      <c r="B55" s="60">
        <f>N49-N50</f>
        <v>40000000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1"/>
    </row>
    <row r="56" spans="1:15">
      <c r="A56" s="62" t="s">
        <v>8</v>
      </c>
      <c r="B56" s="62"/>
      <c r="C56" s="62">
        <f>B55</f>
        <v>40000000</v>
      </c>
      <c r="D56" s="62">
        <f>C56-C57</f>
        <v>40000000</v>
      </c>
      <c r="E56" s="62">
        <f t="shared" ref="E56:N56" si="23">D56-D57</f>
        <v>40000000</v>
      </c>
      <c r="F56" s="62">
        <f t="shared" si="23"/>
        <v>40000000</v>
      </c>
      <c r="G56" s="62">
        <f t="shared" si="23"/>
        <v>40000000</v>
      </c>
      <c r="H56" s="62">
        <f t="shared" si="23"/>
        <v>40000000</v>
      </c>
      <c r="I56" s="62">
        <f t="shared" si="23"/>
        <v>40000000</v>
      </c>
      <c r="J56" s="62">
        <f t="shared" si="23"/>
        <v>40000000</v>
      </c>
      <c r="K56" s="62">
        <f t="shared" si="23"/>
        <v>40000000</v>
      </c>
      <c r="L56" s="62">
        <f t="shared" si="23"/>
        <v>40000000</v>
      </c>
      <c r="M56" s="62">
        <f t="shared" si="23"/>
        <v>40000000</v>
      </c>
      <c r="N56" s="62">
        <f t="shared" si="23"/>
        <v>40000000</v>
      </c>
      <c r="O56" s="90"/>
    </row>
    <row r="57" spans="1:15">
      <c r="A57" s="62" t="s">
        <v>9</v>
      </c>
      <c r="B57" s="62"/>
      <c r="C57" s="62">
        <f>C50</f>
        <v>0</v>
      </c>
      <c r="D57" s="62">
        <f>C57</f>
        <v>0</v>
      </c>
      <c r="E57" s="62">
        <f t="shared" ref="E57:N57" si="24">D57</f>
        <v>0</v>
      </c>
      <c r="F57" s="62">
        <f t="shared" si="24"/>
        <v>0</v>
      </c>
      <c r="G57" s="62">
        <f t="shared" si="24"/>
        <v>0</v>
      </c>
      <c r="H57" s="62">
        <f t="shared" si="24"/>
        <v>0</v>
      </c>
      <c r="I57" s="62">
        <f t="shared" si="24"/>
        <v>0</v>
      </c>
      <c r="J57" s="62">
        <f t="shared" si="24"/>
        <v>0</v>
      </c>
      <c r="K57" s="62">
        <f t="shared" si="24"/>
        <v>0</v>
      </c>
      <c r="L57" s="62">
        <f t="shared" si="24"/>
        <v>0</v>
      </c>
      <c r="M57" s="62">
        <f t="shared" si="24"/>
        <v>0</v>
      </c>
      <c r="N57" s="62">
        <f t="shared" si="24"/>
        <v>0</v>
      </c>
      <c r="O57" s="63">
        <f>SUM(C57:N57)</f>
        <v>0</v>
      </c>
    </row>
    <row r="58" spans="1:15">
      <c r="A58" s="62" t="s">
        <v>10</v>
      </c>
      <c r="C58" s="62">
        <f>B55*F6/12</f>
        <v>0</v>
      </c>
      <c r="D58" s="62">
        <f>C58</f>
        <v>0</v>
      </c>
      <c r="E58" s="62">
        <f t="shared" ref="E58:N58" si="25">D58</f>
        <v>0</v>
      </c>
      <c r="F58" s="62">
        <f t="shared" si="25"/>
        <v>0</v>
      </c>
      <c r="G58" s="62">
        <f t="shared" si="25"/>
        <v>0</v>
      </c>
      <c r="H58" s="62">
        <f t="shared" si="25"/>
        <v>0</v>
      </c>
      <c r="I58" s="62">
        <f t="shared" si="25"/>
        <v>0</v>
      </c>
      <c r="J58" s="62">
        <f t="shared" si="25"/>
        <v>0</v>
      </c>
      <c r="K58" s="62">
        <f t="shared" si="25"/>
        <v>0</v>
      </c>
      <c r="L58" s="62">
        <f t="shared" si="25"/>
        <v>0</v>
      </c>
      <c r="M58" s="62">
        <f t="shared" si="25"/>
        <v>0</v>
      </c>
      <c r="N58" s="62">
        <f t="shared" si="25"/>
        <v>0</v>
      </c>
      <c r="O58" s="63">
        <f>SUM(C58:N58)</f>
        <v>0</v>
      </c>
    </row>
    <row r="59" spans="1:15">
      <c r="A59" s="64" t="s">
        <v>11</v>
      </c>
      <c r="B59" s="64"/>
      <c r="C59" s="64">
        <f t="shared" ref="C59:N59" si="26">SUM(C57:C58)</f>
        <v>0</v>
      </c>
      <c r="D59" s="64">
        <f t="shared" si="26"/>
        <v>0</v>
      </c>
      <c r="E59" s="64">
        <f t="shared" si="26"/>
        <v>0</v>
      </c>
      <c r="F59" s="64">
        <f t="shared" si="26"/>
        <v>0</v>
      </c>
      <c r="G59" s="64">
        <f t="shared" si="26"/>
        <v>0</v>
      </c>
      <c r="H59" s="64">
        <f t="shared" si="26"/>
        <v>0</v>
      </c>
      <c r="I59" s="64">
        <f t="shared" si="26"/>
        <v>0</v>
      </c>
      <c r="J59" s="64">
        <f t="shared" si="26"/>
        <v>0</v>
      </c>
      <c r="K59" s="64">
        <f t="shared" si="26"/>
        <v>0</v>
      </c>
      <c r="L59" s="64">
        <f t="shared" si="26"/>
        <v>0</v>
      </c>
      <c r="M59" s="64">
        <f t="shared" si="26"/>
        <v>0</v>
      </c>
      <c r="N59" s="64">
        <f t="shared" si="26"/>
        <v>0</v>
      </c>
      <c r="O59" s="64">
        <f>SUM(C59:N59)</f>
        <v>0</v>
      </c>
    </row>
    <row r="60" spans="1:15">
      <c r="B60" s="52" t="s">
        <v>140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5">
      <c r="A61" s="57"/>
      <c r="B61" s="57" t="s">
        <v>7</v>
      </c>
      <c r="C61" s="58" t="s">
        <v>13</v>
      </c>
      <c r="D61" s="58" t="s">
        <v>14</v>
      </c>
      <c r="E61" s="58" t="s">
        <v>15</v>
      </c>
      <c r="F61" s="58" t="s">
        <v>16</v>
      </c>
      <c r="G61" s="58" t="s">
        <v>17</v>
      </c>
      <c r="H61" s="58" t="s">
        <v>18</v>
      </c>
      <c r="I61" s="58" t="s">
        <v>19</v>
      </c>
      <c r="J61" s="58" t="s">
        <v>20</v>
      </c>
      <c r="K61" s="58" t="s">
        <v>21</v>
      </c>
      <c r="L61" s="58" t="s">
        <v>22</v>
      </c>
      <c r="M61" s="58" t="s">
        <v>23</v>
      </c>
      <c r="N61" s="58" t="s">
        <v>24</v>
      </c>
      <c r="O61" s="58" t="s">
        <v>0</v>
      </c>
    </row>
    <row r="62" spans="1:15">
      <c r="A62" s="59" t="s">
        <v>5</v>
      </c>
      <c r="B62" s="60">
        <f>N56-N57</f>
        <v>40000000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1"/>
    </row>
    <row r="63" spans="1:15">
      <c r="A63" s="62" t="s">
        <v>8</v>
      </c>
      <c r="B63" s="62"/>
      <c r="C63" s="62">
        <f>B62</f>
        <v>40000000</v>
      </c>
      <c r="D63" s="62">
        <f>C63-C64</f>
        <v>40000000</v>
      </c>
      <c r="E63" s="62">
        <f t="shared" ref="E63:M63" si="27">D63-D64</f>
        <v>40000000</v>
      </c>
      <c r="F63" s="62">
        <f t="shared" si="27"/>
        <v>40000000</v>
      </c>
      <c r="G63" s="62">
        <f t="shared" si="27"/>
        <v>40000000</v>
      </c>
      <c r="H63" s="62">
        <f t="shared" si="27"/>
        <v>40000000</v>
      </c>
      <c r="I63" s="62">
        <f t="shared" si="27"/>
        <v>40000000</v>
      </c>
      <c r="J63" s="62">
        <f t="shared" si="27"/>
        <v>40000000</v>
      </c>
      <c r="K63" s="62">
        <f t="shared" si="27"/>
        <v>40000000</v>
      </c>
      <c r="L63" s="62">
        <f t="shared" si="27"/>
        <v>40000000</v>
      </c>
      <c r="M63" s="62">
        <f t="shared" si="27"/>
        <v>40000000</v>
      </c>
      <c r="N63" s="62">
        <f>M63-M64</f>
        <v>40000000</v>
      </c>
      <c r="O63" s="90"/>
    </row>
    <row r="64" spans="1:15">
      <c r="A64" s="62" t="s">
        <v>9</v>
      </c>
      <c r="B64" s="62"/>
      <c r="C64" s="62">
        <f>C57</f>
        <v>0</v>
      </c>
      <c r="D64" s="62">
        <f>C64</f>
        <v>0</v>
      </c>
      <c r="E64" s="62">
        <f t="shared" ref="E64:N64" si="28">D64</f>
        <v>0</v>
      </c>
      <c r="F64" s="62">
        <f t="shared" si="28"/>
        <v>0</v>
      </c>
      <c r="G64" s="62">
        <f t="shared" si="28"/>
        <v>0</v>
      </c>
      <c r="H64" s="62">
        <f t="shared" si="28"/>
        <v>0</v>
      </c>
      <c r="I64" s="62">
        <f t="shared" si="28"/>
        <v>0</v>
      </c>
      <c r="J64" s="62">
        <f t="shared" si="28"/>
        <v>0</v>
      </c>
      <c r="K64" s="62">
        <f t="shared" si="28"/>
        <v>0</v>
      </c>
      <c r="L64" s="62">
        <f t="shared" si="28"/>
        <v>0</v>
      </c>
      <c r="M64" s="62">
        <f t="shared" si="28"/>
        <v>0</v>
      </c>
      <c r="N64" s="62">
        <f t="shared" si="28"/>
        <v>0</v>
      </c>
      <c r="O64" s="63">
        <f>SUM(C64:N64)</f>
        <v>0</v>
      </c>
    </row>
    <row r="65" spans="1:15">
      <c r="A65" s="62" t="s">
        <v>10</v>
      </c>
      <c r="B65" s="62"/>
      <c r="C65" s="62">
        <f>B62*F6/12</f>
        <v>0</v>
      </c>
      <c r="D65" s="62">
        <f>C65</f>
        <v>0</v>
      </c>
      <c r="E65" s="62">
        <f t="shared" ref="E65:N65" si="29">D65</f>
        <v>0</v>
      </c>
      <c r="F65" s="62">
        <f t="shared" si="29"/>
        <v>0</v>
      </c>
      <c r="G65" s="62">
        <f t="shared" si="29"/>
        <v>0</v>
      </c>
      <c r="H65" s="62">
        <f t="shared" si="29"/>
        <v>0</v>
      </c>
      <c r="I65" s="62">
        <f t="shared" si="29"/>
        <v>0</v>
      </c>
      <c r="J65" s="62">
        <f t="shared" si="29"/>
        <v>0</v>
      </c>
      <c r="K65" s="62">
        <f t="shared" si="29"/>
        <v>0</v>
      </c>
      <c r="L65" s="62">
        <f t="shared" si="29"/>
        <v>0</v>
      </c>
      <c r="M65" s="62">
        <f t="shared" si="29"/>
        <v>0</v>
      </c>
      <c r="N65" s="62">
        <f t="shared" si="29"/>
        <v>0</v>
      </c>
      <c r="O65" s="63">
        <f>SUM(C65:N65)</f>
        <v>0</v>
      </c>
    </row>
    <row r="66" spans="1:15">
      <c r="A66" s="64" t="s">
        <v>11</v>
      </c>
      <c r="B66" s="64"/>
      <c r="C66" s="64">
        <f t="shared" ref="C66:N66" si="30">SUM(C64:C65)</f>
        <v>0</v>
      </c>
      <c r="D66" s="64">
        <f t="shared" si="30"/>
        <v>0</v>
      </c>
      <c r="E66" s="64">
        <f t="shared" si="30"/>
        <v>0</v>
      </c>
      <c r="F66" s="64">
        <f t="shared" si="30"/>
        <v>0</v>
      </c>
      <c r="G66" s="64">
        <f t="shared" si="30"/>
        <v>0</v>
      </c>
      <c r="H66" s="64">
        <f t="shared" si="30"/>
        <v>0</v>
      </c>
      <c r="I66" s="64">
        <f t="shared" si="30"/>
        <v>0</v>
      </c>
      <c r="J66" s="64">
        <f t="shared" si="30"/>
        <v>0</v>
      </c>
      <c r="K66" s="64">
        <f t="shared" si="30"/>
        <v>0</v>
      </c>
      <c r="L66" s="64">
        <f t="shared" si="30"/>
        <v>0</v>
      </c>
      <c r="M66" s="64">
        <f t="shared" si="30"/>
        <v>0</v>
      </c>
      <c r="N66" s="64">
        <f t="shared" si="30"/>
        <v>0</v>
      </c>
      <c r="O66" s="64">
        <f>SUM(C66:N66)</f>
        <v>0</v>
      </c>
    </row>
    <row r="67" spans="1:15">
      <c r="B67" s="52" t="s">
        <v>141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5">
      <c r="A68" s="57"/>
      <c r="B68" s="57" t="s">
        <v>7</v>
      </c>
      <c r="C68" s="58" t="s">
        <v>13</v>
      </c>
      <c r="D68" s="58" t="s">
        <v>14</v>
      </c>
      <c r="E68" s="58" t="s">
        <v>15</v>
      </c>
      <c r="F68" s="58" t="s">
        <v>16</v>
      </c>
      <c r="G68" s="58" t="s">
        <v>17</v>
      </c>
      <c r="H68" s="58" t="s">
        <v>18</v>
      </c>
      <c r="I68" s="58" t="s">
        <v>19</v>
      </c>
      <c r="J68" s="58" t="s">
        <v>20</v>
      </c>
      <c r="K68" s="58" t="s">
        <v>21</v>
      </c>
      <c r="L68" s="58" t="s">
        <v>22</v>
      </c>
      <c r="M68" s="58" t="s">
        <v>23</v>
      </c>
      <c r="N68" s="58" t="s">
        <v>24</v>
      </c>
      <c r="O68" s="58" t="s">
        <v>0</v>
      </c>
    </row>
    <row r="69" spans="1:15">
      <c r="A69" s="59" t="s">
        <v>5</v>
      </c>
      <c r="B69" s="60">
        <f>N63-N64</f>
        <v>40000000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1"/>
    </row>
    <row r="70" spans="1:15">
      <c r="A70" s="62" t="s">
        <v>8</v>
      </c>
      <c r="B70" s="90"/>
      <c r="C70" s="62">
        <f>B69</f>
        <v>40000000</v>
      </c>
      <c r="D70" s="62">
        <f>C70-C71</f>
        <v>40000000</v>
      </c>
      <c r="E70" s="62">
        <f t="shared" ref="E70:N70" si="31">D70-D71</f>
        <v>40000000</v>
      </c>
      <c r="F70" s="62">
        <f t="shared" si="31"/>
        <v>40000000</v>
      </c>
      <c r="G70" s="62">
        <f t="shared" si="31"/>
        <v>40000000</v>
      </c>
      <c r="H70" s="62">
        <f t="shared" si="31"/>
        <v>40000000</v>
      </c>
      <c r="I70" s="62">
        <f t="shared" si="31"/>
        <v>40000000</v>
      </c>
      <c r="J70" s="62">
        <f t="shared" si="31"/>
        <v>40000000</v>
      </c>
      <c r="K70" s="62">
        <f t="shared" si="31"/>
        <v>40000000</v>
      </c>
      <c r="L70" s="62">
        <f t="shared" si="31"/>
        <v>40000000</v>
      </c>
      <c r="M70" s="62">
        <f t="shared" si="31"/>
        <v>40000000</v>
      </c>
      <c r="N70" s="62">
        <f t="shared" si="31"/>
        <v>40000000</v>
      </c>
      <c r="O70" s="90"/>
    </row>
    <row r="71" spans="1:15">
      <c r="A71" s="62" t="s">
        <v>9</v>
      </c>
      <c r="B71" s="62"/>
      <c r="C71" s="62">
        <f>C64</f>
        <v>0</v>
      </c>
      <c r="D71" s="62">
        <f>C71</f>
        <v>0</v>
      </c>
      <c r="E71" s="62">
        <f t="shared" ref="E71:N71" si="32">D71</f>
        <v>0</v>
      </c>
      <c r="F71" s="62">
        <f t="shared" si="32"/>
        <v>0</v>
      </c>
      <c r="G71" s="62">
        <f t="shared" si="32"/>
        <v>0</v>
      </c>
      <c r="H71" s="62">
        <f t="shared" si="32"/>
        <v>0</v>
      </c>
      <c r="I71" s="62">
        <f t="shared" si="32"/>
        <v>0</v>
      </c>
      <c r="J71" s="62">
        <f t="shared" si="32"/>
        <v>0</v>
      </c>
      <c r="K71" s="62">
        <f t="shared" si="32"/>
        <v>0</v>
      </c>
      <c r="L71" s="62">
        <f t="shared" si="32"/>
        <v>0</v>
      </c>
      <c r="M71" s="62">
        <f t="shared" si="32"/>
        <v>0</v>
      </c>
      <c r="N71" s="62">
        <f t="shared" si="32"/>
        <v>0</v>
      </c>
      <c r="O71" s="63">
        <f>SUM(C71:N71)</f>
        <v>0</v>
      </c>
    </row>
    <row r="72" spans="1:15">
      <c r="A72" s="62" t="s">
        <v>10</v>
      </c>
      <c r="B72" s="62"/>
      <c r="C72" s="62">
        <f>B69*F6/12</f>
        <v>0</v>
      </c>
      <c r="D72" s="62">
        <f>C72</f>
        <v>0</v>
      </c>
      <c r="E72" s="62">
        <f t="shared" ref="E72:N72" si="33">D72</f>
        <v>0</v>
      </c>
      <c r="F72" s="62">
        <f t="shared" si="33"/>
        <v>0</v>
      </c>
      <c r="G72" s="62">
        <f t="shared" si="33"/>
        <v>0</v>
      </c>
      <c r="H72" s="62">
        <f t="shared" si="33"/>
        <v>0</v>
      </c>
      <c r="I72" s="62">
        <f t="shared" si="33"/>
        <v>0</v>
      </c>
      <c r="J72" s="62">
        <f t="shared" si="33"/>
        <v>0</v>
      </c>
      <c r="K72" s="62">
        <f t="shared" si="33"/>
        <v>0</v>
      </c>
      <c r="L72" s="62">
        <f t="shared" si="33"/>
        <v>0</v>
      </c>
      <c r="M72" s="62">
        <f t="shared" si="33"/>
        <v>0</v>
      </c>
      <c r="N72" s="62">
        <f t="shared" si="33"/>
        <v>0</v>
      </c>
      <c r="O72" s="63">
        <f>SUM(C72:N72)</f>
        <v>0</v>
      </c>
    </row>
    <row r="73" spans="1:15">
      <c r="A73" s="64" t="s">
        <v>11</v>
      </c>
      <c r="B73" s="64"/>
      <c r="C73" s="64">
        <f t="shared" ref="C73:N73" si="34">SUM(C71:C72)</f>
        <v>0</v>
      </c>
      <c r="D73" s="64">
        <f t="shared" si="34"/>
        <v>0</v>
      </c>
      <c r="E73" s="64">
        <f t="shared" si="34"/>
        <v>0</v>
      </c>
      <c r="F73" s="64">
        <f t="shared" si="34"/>
        <v>0</v>
      </c>
      <c r="G73" s="64">
        <f t="shared" si="34"/>
        <v>0</v>
      </c>
      <c r="H73" s="64">
        <f t="shared" si="34"/>
        <v>0</v>
      </c>
      <c r="I73" s="64">
        <f t="shared" si="34"/>
        <v>0</v>
      </c>
      <c r="J73" s="64">
        <f t="shared" si="34"/>
        <v>0</v>
      </c>
      <c r="K73" s="64">
        <f t="shared" si="34"/>
        <v>0</v>
      </c>
      <c r="L73" s="64">
        <f t="shared" si="34"/>
        <v>0</v>
      </c>
      <c r="M73" s="64">
        <f t="shared" si="34"/>
        <v>0</v>
      </c>
      <c r="N73" s="64">
        <f t="shared" si="34"/>
        <v>0</v>
      </c>
      <c r="O73" s="64">
        <f>SUM(C73:N73)</f>
        <v>0</v>
      </c>
    </row>
    <row r="74" spans="1:15">
      <c r="B74" s="52" t="s">
        <v>142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5">
      <c r="A75" s="57"/>
      <c r="B75" s="57" t="s">
        <v>7</v>
      </c>
      <c r="C75" s="58" t="s">
        <v>13</v>
      </c>
      <c r="D75" s="58" t="s">
        <v>14</v>
      </c>
      <c r="E75" s="58" t="s">
        <v>15</v>
      </c>
      <c r="F75" s="58" t="s">
        <v>16</v>
      </c>
      <c r="G75" s="58" t="s">
        <v>17</v>
      </c>
      <c r="H75" s="58" t="s">
        <v>18</v>
      </c>
      <c r="I75" s="58" t="s">
        <v>19</v>
      </c>
      <c r="J75" s="58" t="s">
        <v>20</v>
      </c>
      <c r="K75" s="58" t="s">
        <v>21</v>
      </c>
      <c r="L75" s="58" t="s">
        <v>22</v>
      </c>
      <c r="M75" s="58" t="s">
        <v>23</v>
      </c>
      <c r="N75" s="58" t="s">
        <v>24</v>
      </c>
      <c r="O75" s="58" t="s">
        <v>0</v>
      </c>
    </row>
    <row r="76" spans="1:15">
      <c r="A76" s="59" t="s">
        <v>5</v>
      </c>
      <c r="B76" s="60">
        <f>N70-N71</f>
        <v>40000000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1"/>
    </row>
    <row r="77" spans="1:15">
      <c r="A77" s="62" t="s">
        <v>8</v>
      </c>
      <c r="B77" s="62"/>
      <c r="C77" s="62">
        <f>B76</f>
        <v>40000000</v>
      </c>
      <c r="D77" s="62">
        <f>C77-C78</f>
        <v>40000000</v>
      </c>
      <c r="E77" s="62">
        <f t="shared" ref="E77:N77" si="35">D77-D78</f>
        <v>40000000</v>
      </c>
      <c r="F77" s="62">
        <f t="shared" si="35"/>
        <v>40000000</v>
      </c>
      <c r="G77" s="62">
        <f t="shared" si="35"/>
        <v>40000000</v>
      </c>
      <c r="H77" s="62">
        <f t="shared" si="35"/>
        <v>40000000</v>
      </c>
      <c r="I77" s="62">
        <f t="shared" si="35"/>
        <v>40000000</v>
      </c>
      <c r="J77" s="62">
        <f t="shared" si="35"/>
        <v>40000000</v>
      </c>
      <c r="K77" s="62">
        <f t="shared" si="35"/>
        <v>40000000</v>
      </c>
      <c r="L77" s="62">
        <f t="shared" si="35"/>
        <v>40000000</v>
      </c>
      <c r="M77" s="62">
        <f t="shared" si="35"/>
        <v>40000000</v>
      </c>
      <c r="N77" s="62">
        <f t="shared" si="35"/>
        <v>40000000</v>
      </c>
      <c r="O77" s="90"/>
    </row>
    <row r="78" spans="1:15">
      <c r="A78" s="62" t="s">
        <v>9</v>
      </c>
      <c r="B78" s="62"/>
      <c r="C78" s="62">
        <f>C71</f>
        <v>0</v>
      </c>
      <c r="D78" s="62">
        <f>C78</f>
        <v>0</v>
      </c>
      <c r="E78" s="62">
        <f t="shared" ref="E78:N78" si="36">D78</f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 t="shared" si="36"/>
        <v>0</v>
      </c>
      <c r="N78" s="62">
        <f t="shared" si="36"/>
        <v>0</v>
      </c>
      <c r="O78" s="63">
        <f>SUM(C78:N78)</f>
        <v>0</v>
      </c>
    </row>
    <row r="79" spans="1:15">
      <c r="A79" s="62" t="s">
        <v>10</v>
      </c>
      <c r="B79" s="62"/>
      <c r="C79" s="62">
        <f>B76*F6/12</f>
        <v>0</v>
      </c>
      <c r="D79" s="62">
        <f>C79</f>
        <v>0</v>
      </c>
      <c r="E79" s="62">
        <f t="shared" ref="E79:N79" si="37">D79</f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63">
        <f>SUM(C79:N79)</f>
        <v>0</v>
      </c>
    </row>
    <row r="80" spans="1:15">
      <c r="A80" s="64" t="s">
        <v>11</v>
      </c>
      <c r="B80" s="64"/>
      <c r="C80" s="64">
        <f t="shared" ref="C80:N80" si="38">SUM(C78:C79)</f>
        <v>0</v>
      </c>
      <c r="D80" s="64">
        <f t="shared" si="38"/>
        <v>0</v>
      </c>
      <c r="E80" s="64">
        <f t="shared" si="38"/>
        <v>0</v>
      </c>
      <c r="F80" s="64">
        <f t="shared" si="38"/>
        <v>0</v>
      </c>
      <c r="G80" s="64">
        <f t="shared" si="38"/>
        <v>0</v>
      </c>
      <c r="H80" s="64">
        <f t="shared" si="38"/>
        <v>0</v>
      </c>
      <c r="I80" s="64">
        <f t="shared" si="38"/>
        <v>0</v>
      </c>
      <c r="J80" s="64">
        <f t="shared" si="38"/>
        <v>0</v>
      </c>
      <c r="K80" s="64">
        <f t="shared" si="38"/>
        <v>0</v>
      </c>
      <c r="L80" s="64">
        <f t="shared" si="38"/>
        <v>0</v>
      </c>
      <c r="M80" s="64">
        <f t="shared" si="38"/>
        <v>0</v>
      </c>
      <c r="N80" s="64">
        <f t="shared" si="38"/>
        <v>0</v>
      </c>
      <c r="O80" s="64">
        <f>SUM(C80:N80)</f>
        <v>0</v>
      </c>
    </row>
    <row r="83" spans="5:9">
      <c r="E83" s="67"/>
      <c r="I83" s="67"/>
    </row>
    <row r="99" spans="6:6">
      <c r="F99" s="67"/>
    </row>
  </sheetData>
  <phoneticPr fontId="2" type="noConversion"/>
  <pageMargins left="0.55118110236220474" right="0.27559055118110237" top="0.43307086614173229" bottom="0.43307086614173229" header="0.11811023622047245" footer="0.11811023622047245"/>
  <pageSetup paperSize="9" scale="66" fitToHeight="0" orientation="landscape"/>
  <headerFooter alignWithMargins="0">
    <oddFooter>&amp;C&amp;P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7"/>
  <sheetViews>
    <sheetView topLeftCell="A4" zoomScale="120" zoomScaleNormal="120" workbookViewId="0">
      <selection activeCell="D25" sqref="D25"/>
    </sheetView>
  </sheetViews>
  <sheetFormatPr baseColWidth="10" defaultColWidth="48.1640625" defaultRowHeight="13"/>
  <cols>
    <col min="1" max="1" width="4.6640625" style="51" customWidth="1"/>
    <col min="2" max="2" width="48.1640625" style="51" customWidth="1"/>
    <col min="3" max="6" width="12.6640625" style="51" customWidth="1"/>
    <col min="7" max="7" width="11.5" style="51" customWidth="1"/>
    <col min="8" max="16384" width="48.1640625" style="51"/>
  </cols>
  <sheetData>
    <row r="1" spans="1:7">
      <c r="G1" s="51" t="s">
        <v>6</v>
      </c>
    </row>
    <row r="2" spans="1:7" ht="14">
      <c r="A2" s="260" t="s">
        <v>223</v>
      </c>
      <c r="B2" s="260"/>
      <c r="C2" s="260"/>
      <c r="D2" s="260"/>
      <c r="E2" s="260"/>
      <c r="F2" s="260"/>
      <c r="G2" s="260"/>
    </row>
    <row r="3" spans="1:7">
      <c r="F3" s="222"/>
      <c r="G3" s="222"/>
    </row>
    <row r="4" spans="1:7">
      <c r="A4" s="262" t="s">
        <v>74</v>
      </c>
      <c r="B4" s="262" t="s">
        <v>180</v>
      </c>
      <c r="C4" s="261" t="s">
        <v>229</v>
      </c>
      <c r="D4" s="261"/>
    </row>
    <row r="5" spans="1:7">
      <c r="A5" s="263"/>
      <c r="B5" s="263"/>
      <c r="C5" s="261"/>
      <c r="D5" s="261"/>
    </row>
    <row r="6" spans="1:7">
      <c r="A6" s="263"/>
      <c r="B6" s="263"/>
      <c r="C6" s="261" t="s">
        <v>181</v>
      </c>
      <c r="D6" s="261"/>
    </row>
    <row r="7" spans="1:7">
      <c r="A7" s="263"/>
      <c r="B7" s="263"/>
      <c r="C7" s="261" t="s">
        <v>182</v>
      </c>
    </row>
    <row r="8" spans="1:7">
      <c r="A8" s="264"/>
      <c r="B8" s="264"/>
      <c r="C8" s="261"/>
    </row>
    <row r="9" spans="1:7" ht="14">
      <c r="A9" s="213">
        <v>1</v>
      </c>
      <c r="B9" s="150" t="s">
        <v>272</v>
      </c>
      <c r="C9" s="220">
        <v>6000000</v>
      </c>
    </row>
    <row r="10" spans="1:7">
      <c r="A10" s="213">
        <v>2</v>
      </c>
      <c r="B10" s="51" t="s">
        <v>273</v>
      </c>
      <c r="C10" s="220">
        <v>10000000</v>
      </c>
    </row>
    <row r="11" spans="1:7" ht="14">
      <c r="A11" s="213">
        <v>3</v>
      </c>
      <c r="B11" s="214" t="s">
        <v>225</v>
      </c>
      <c r="C11" s="215">
        <v>3000000</v>
      </c>
    </row>
    <row r="12" spans="1:7" ht="14">
      <c r="A12" s="213">
        <v>4</v>
      </c>
      <c r="B12" s="214" t="s">
        <v>224</v>
      </c>
      <c r="C12" s="215">
        <v>3000000</v>
      </c>
    </row>
    <row r="13" spans="1:7" ht="14">
      <c r="A13" s="213">
        <v>5</v>
      </c>
      <c r="B13" s="214" t="s">
        <v>228</v>
      </c>
      <c r="C13" s="215">
        <v>500000</v>
      </c>
    </row>
    <row r="14" spans="1:7" ht="14">
      <c r="A14" s="213">
        <v>6</v>
      </c>
      <c r="B14" s="214" t="s">
        <v>226</v>
      </c>
      <c r="C14" s="215">
        <v>2500000</v>
      </c>
    </row>
    <row r="15" spans="1:7" ht="14">
      <c r="A15" s="213">
        <v>7</v>
      </c>
      <c r="B15" s="214" t="s">
        <v>227</v>
      </c>
      <c r="C15" s="215">
        <v>2000000</v>
      </c>
    </row>
    <row r="16" spans="1:7" ht="14">
      <c r="A16" s="259">
        <v>8</v>
      </c>
      <c r="B16" s="219" t="s">
        <v>275</v>
      </c>
      <c r="C16" s="215">
        <v>3000000</v>
      </c>
    </row>
    <row r="17" spans="1:3">
      <c r="A17" s="216"/>
      <c r="B17" s="217" t="s">
        <v>183</v>
      </c>
      <c r="C17" s="218">
        <f>SUM(C9:C16)</f>
        <v>30000000</v>
      </c>
    </row>
  </sheetData>
  <mergeCells count="6">
    <mergeCell ref="A2:G2"/>
    <mergeCell ref="C6:D6"/>
    <mergeCell ref="C7:C8"/>
    <mergeCell ref="A4:A8"/>
    <mergeCell ref="B4:B8"/>
    <mergeCell ref="C4:D5"/>
  </mergeCells>
  <phoneticPr fontId="54" type="noConversion"/>
  <pageMargins left="0.19685039370078741" right="0.39370078740157483" top="0.59055118110236227" bottom="0.39370078740157483" header="0.11811023622047245" footer="0.11811023622047245"/>
  <pageSetup paperSize="9" scale="88" orientation="landscape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view="pageBreakPreview" zoomScaleNormal="100" workbookViewId="0">
      <selection activeCell="E32" sqref="E32"/>
    </sheetView>
  </sheetViews>
  <sheetFormatPr baseColWidth="10" defaultColWidth="9.1640625" defaultRowHeight="13"/>
  <cols>
    <col min="1" max="1" width="4.5" style="69" customWidth="1"/>
    <col min="2" max="2" width="40.83203125" style="69" bestFit="1" customWidth="1"/>
    <col min="3" max="3" width="11.33203125" style="70" bestFit="1" customWidth="1"/>
    <col min="4" max="4" width="15.33203125" style="70" bestFit="1" customWidth="1"/>
    <col min="5" max="5" width="13" style="70" customWidth="1"/>
    <col min="6" max="16384" width="9.1640625" style="69"/>
  </cols>
  <sheetData>
    <row r="1" spans="1:5">
      <c r="A1" s="68"/>
    </row>
    <row r="2" spans="1:5" ht="2.25" customHeight="1"/>
    <row r="3" spans="1:5" ht="16">
      <c r="A3" s="71" t="s">
        <v>151</v>
      </c>
      <c r="B3" s="72"/>
      <c r="C3" s="73"/>
      <c r="D3" s="73"/>
      <c r="E3" s="73"/>
    </row>
    <row r="4" spans="1:5" ht="7.5" customHeight="1">
      <c r="A4" s="72"/>
      <c r="B4" s="72"/>
      <c r="C4" s="73"/>
      <c r="D4" s="73"/>
      <c r="E4" s="73"/>
    </row>
    <row r="5" spans="1:5" ht="16">
      <c r="A5" s="72" t="s">
        <v>70</v>
      </c>
      <c r="B5" s="74"/>
      <c r="C5" s="75">
        <f>C25</f>
        <v>46</v>
      </c>
      <c r="D5" s="75" t="s">
        <v>71</v>
      </c>
      <c r="E5" s="73"/>
    </row>
    <row r="6" spans="1:5" ht="16">
      <c r="A6" s="72" t="s">
        <v>72</v>
      </c>
      <c r="B6" s="74"/>
      <c r="C6" s="76">
        <f>E25</f>
        <v>7110000</v>
      </c>
      <c r="D6" s="75" t="s">
        <v>73</v>
      </c>
      <c r="E6" s="73"/>
    </row>
    <row r="7" spans="1:5" ht="4.5" customHeight="1">
      <c r="A7" s="74"/>
      <c r="B7" s="74"/>
      <c r="C7" s="75"/>
      <c r="D7" s="75"/>
      <c r="E7" s="73"/>
    </row>
    <row r="8" spans="1:5" ht="28">
      <c r="A8" s="77" t="s">
        <v>74</v>
      </c>
      <c r="B8" s="77" t="s">
        <v>75</v>
      </c>
      <c r="C8" s="77" t="s">
        <v>143</v>
      </c>
      <c r="D8" s="77" t="s">
        <v>76</v>
      </c>
      <c r="E8" s="77" t="s">
        <v>77</v>
      </c>
    </row>
    <row r="9" spans="1:5" s="80" customFormat="1" hidden="1">
      <c r="A9" s="78"/>
      <c r="B9" s="78" t="s">
        <v>79</v>
      </c>
      <c r="C9" s="78"/>
      <c r="D9" s="79"/>
      <c r="E9" s="79"/>
    </row>
    <row r="10" spans="1:5">
      <c r="A10" s="81">
        <v>1</v>
      </c>
      <c r="B10" s="82" t="s">
        <v>274</v>
      </c>
      <c r="C10" s="81">
        <v>3</v>
      </c>
      <c r="D10" s="83">
        <v>250000</v>
      </c>
      <c r="E10" s="83">
        <f t="shared" ref="E10:E18" si="0">C10*D10</f>
        <v>750000</v>
      </c>
    </row>
    <row r="11" spans="1:5">
      <c r="A11" s="81">
        <v>2</v>
      </c>
      <c r="B11" s="82" t="s">
        <v>230</v>
      </c>
      <c r="C11" s="81">
        <v>6</v>
      </c>
      <c r="D11" s="83">
        <v>180000</v>
      </c>
      <c r="E11" s="83">
        <f t="shared" si="0"/>
        <v>1080000</v>
      </c>
    </row>
    <row r="12" spans="1:5">
      <c r="A12" s="81">
        <v>3</v>
      </c>
      <c r="B12" s="82" t="s">
        <v>231</v>
      </c>
      <c r="C12" s="81">
        <v>13</v>
      </c>
      <c r="D12" s="83">
        <v>200000</v>
      </c>
      <c r="E12" s="83">
        <f t="shared" si="0"/>
        <v>2600000</v>
      </c>
    </row>
    <row r="13" spans="1:5">
      <c r="A13" s="81">
        <v>4</v>
      </c>
      <c r="B13" s="82" t="s">
        <v>232</v>
      </c>
      <c r="C13" s="81">
        <v>6</v>
      </c>
      <c r="D13" s="83">
        <v>120000</v>
      </c>
      <c r="E13" s="83">
        <f t="shared" si="0"/>
        <v>720000</v>
      </c>
    </row>
    <row r="14" spans="1:5">
      <c r="A14" s="81">
        <v>5</v>
      </c>
      <c r="B14" s="82" t="s">
        <v>233</v>
      </c>
      <c r="C14" s="81">
        <v>6</v>
      </c>
      <c r="D14" s="83">
        <v>130000</v>
      </c>
      <c r="E14" s="83">
        <f t="shared" si="0"/>
        <v>780000</v>
      </c>
    </row>
    <row r="15" spans="1:5">
      <c r="A15" s="81">
        <v>6</v>
      </c>
      <c r="B15" s="82" t="s">
        <v>234</v>
      </c>
      <c r="C15" s="81">
        <v>4</v>
      </c>
      <c r="D15" s="83">
        <v>100000</v>
      </c>
      <c r="E15" s="83">
        <f t="shared" si="0"/>
        <v>400000</v>
      </c>
    </row>
    <row r="16" spans="1:5">
      <c r="A16" s="81">
        <v>7</v>
      </c>
      <c r="B16" s="82" t="s">
        <v>235</v>
      </c>
      <c r="C16" s="81">
        <v>3</v>
      </c>
      <c r="D16" s="83">
        <v>120000</v>
      </c>
      <c r="E16" s="83">
        <f t="shared" si="0"/>
        <v>360000</v>
      </c>
    </row>
    <row r="17" spans="1:5">
      <c r="A17" s="81">
        <v>8</v>
      </c>
      <c r="B17" s="82" t="s">
        <v>236</v>
      </c>
      <c r="C17" s="81">
        <v>3</v>
      </c>
      <c r="D17" s="83">
        <v>40000</v>
      </c>
      <c r="E17" s="83">
        <f t="shared" si="0"/>
        <v>120000</v>
      </c>
    </row>
    <row r="18" spans="1:5">
      <c r="A18" s="81">
        <v>9</v>
      </c>
      <c r="B18" s="82" t="s">
        <v>237</v>
      </c>
      <c r="C18" s="81">
        <v>2</v>
      </c>
      <c r="D18" s="83">
        <v>150000</v>
      </c>
      <c r="E18" s="83">
        <f t="shared" si="0"/>
        <v>300000</v>
      </c>
    </row>
    <row r="19" spans="1:5" s="80" customFormat="1">
      <c r="A19" s="78"/>
      <c r="B19" s="84" t="s">
        <v>78</v>
      </c>
      <c r="C19" s="78">
        <f>SUM(C10:C18)</f>
        <v>46</v>
      </c>
      <c r="D19" s="79"/>
      <c r="E19" s="79">
        <f>SUM(E10:E18)</f>
        <v>7110000</v>
      </c>
    </row>
    <row r="20" spans="1:5" s="80" customFormat="1" hidden="1">
      <c r="A20" s="78"/>
      <c r="B20" s="84"/>
      <c r="C20" s="78"/>
      <c r="D20" s="79"/>
      <c r="E20" s="79"/>
    </row>
    <row r="21" spans="1:5" s="80" customFormat="1" hidden="1">
      <c r="A21" s="78"/>
      <c r="B21" s="78" t="s">
        <v>173</v>
      </c>
      <c r="C21" s="78"/>
      <c r="D21" s="79"/>
      <c r="E21" s="79"/>
    </row>
    <row r="22" spans="1:5" hidden="1">
      <c r="A22" s="81">
        <v>7</v>
      </c>
      <c r="B22" s="82" t="s">
        <v>174</v>
      </c>
      <c r="C22" s="81">
        <v>0</v>
      </c>
      <c r="D22" s="83">
        <v>0</v>
      </c>
      <c r="E22" s="83">
        <f>C22*D22</f>
        <v>0</v>
      </c>
    </row>
    <row r="23" spans="1:5" hidden="1">
      <c r="A23" s="81">
        <v>8</v>
      </c>
      <c r="B23" s="82" t="s">
        <v>175</v>
      </c>
      <c r="C23" s="81">
        <v>0</v>
      </c>
      <c r="D23" s="83">
        <v>0</v>
      </c>
      <c r="E23" s="83">
        <f>C23*D23</f>
        <v>0</v>
      </c>
    </row>
    <row r="24" spans="1:5" s="80" customFormat="1" hidden="1">
      <c r="A24" s="78"/>
      <c r="B24" s="84" t="s">
        <v>78</v>
      </c>
      <c r="C24" s="78">
        <f>SUM(C22:C23)</f>
        <v>0</v>
      </c>
      <c r="D24" s="79"/>
      <c r="E24" s="79">
        <f>SUM(E22:E23)</f>
        <v>0</v>
      </c>
    </row>
    <row r="25" spans="1:5" s="88" customFormat="1" hidden="1">
      <c r="A25" s="86"/>
      <c r="B25" s="87" t="s">
        <v>80</v>
      </c>
      <c r="C25" s="85">
        <f>C19+C24</f>
        <v>46</v>
      </c>
      <c r="D25" s="85"/>
      <c r="E25" s="85">
        <f>E19+E24</f>
        <v>7110000</v>
      </c>
    </row>
    <row r="26" spans="1:5">
      <c r="C26" s="89"/>
    </row>
  </sheetData>
  <phoneticPr fontId="2" type="noConversion"/>
  <pageMargins left="0.75" right="0.75" top="1" bottom="1" header="0.5" footer="0.5"/>
  <pageSetup paperSize="9" scale="89" orientation="portrait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2"/>
  <sheetViews>
    <sheetView topLeftCell="A7" zoomScale="85" zoomScaleNormal="85" workbookViewId="0">
      <pane xSplit="1" topLeftCell="B1" activePane="topRight" state="frozen"/>
      <selection pane="topRight" activeCell="M41" sqref="M41"/>
    </sheetView>
  </sheetViews>
  <sheetFormatPr baseColWidth="10" defaultColWidth="9.1640625" defaultRowHeight="16"/>
  <cols>
    <col min="1" max="1" width="31.1640625" style="92" customWidth="1"/>
    <col min="2" max="2" width="14.5" style="92" customWidth="1"/>
    <col min="3" max="3" width="17" style="92" customWidth="1"/>
    <col min="4" max="4" width="17.6640625" style="92" customWidth="1"/>
    <col min="5" max="13" width="13.6640625" style="92" customWidth="1"/>
    <col min="14" max="14" width="16.1640625" style="93" bestFit="1" customWidth="1"/>
    <col min="15" max="16384" width="9.1640625" style="92"/>
  </cols>
  <sheetData>
    <row r="1" spans="1:16">
      <c r="A1" s="91"/>
      <c r="O1" s="94"/>
    </row>
    <row r="2" spans="1:16">
      <c r="A2" s="91"/>
      <c r="O2" s="94"/>
      <c r="P2" s="94"/>
    </row>
    <row r="3" spans="1:16">
      <c r="A3" s="71" t="s">
        <v>61</v>
      </c>
      <c r="C3" s="95"/>
      <c r="D3" s="96"/>
      <c r="E3" s="97"/>
      <c r="O3" s="94"/>
      <c r="P3" s="94"/>
    </row>
    <row r="4" spans="1:16">
      <c r="A4" s="91"/>
      <c r="E4" s="98"/>
      <c r="O4" s="94"/>
      <c r="P4" s="94"/>
    </row>
    <row r="5" spans="1:16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O5" s="94"/>
      <c r="P5" s="94"/>
    </row>
    <row r="6" spans="1:16" ht="51">
      <c r="A6" s="104" t="s">
        <v>12</v>
      </c>
      <c r="B6" s="104" t="s">
        <v>248</v>
      </c>
      <c r="C6" s="104" t="s">
        <v>249</v>
      </c>
      <c r="D6" s="104" t="s">
        <v>250</v>
      </c>
      <c r="E6" s="104" t="s">
        <v>251</v>
      </c>
      <c r="F6" s="104" t="s">
        <v>252</v>
      </c>
      <c r="G6" s="104" t="s">
        <v>253</v>
      </c>
      <c r="H6" s="104" t="s">
        <v>254</v>
      </c>
      <c r="I6" s="104" t="s">
        <v>255</v>
      </c>
      <c r="J6" s="104" t="s">
        <v>256</v>
      </c>
      <c r="K6" s="104" t="s">
        <v>257</v>
      </c>
      <c r="L6" s="104" t="s">
        <v>258</v>
      </c>
      <c r="M6" s="104" t="s">
        <v>259</v>
      </c>
      <c r="N6" s="104" t="s">
        <v>0</v>
      </c>
      <c r="O6" s="94"/>
      <c r="P6" s="94"/>
    </row>
    <row r="7" spans="1:16" s="93" customFormat="1" ht="17">
      <c r="A7" s="244" t="s">
        <v>238</v>
      </c>
      <c r="B7" s="100">
        <f>B8*B9</f>
        <v>3600000</v>
      </c>
      <c r="C7" s="100">
        <f t="shared" ref="C7:M7" si="0">C8*C9</f>
        <v>3600000</v>
      </c>
      <c r="D7" s="100">
        <f t="shared" si="0"/>
        <v>3900000</v>
      </c>
      <c r="E7" s="100">
        <f t="shared" si="0"/>
        <v>4200000</v>
      </c>
      <c r="F7" s="100">
        <f t="shared" si="0"/>
        <v>4200000</v>
      </c>
      <c r="G7" s="100">
        <f t="shared" si="0"/>
        <v>4200000</v>
      </c>
      <c r="H7" s="100">
        <f t="shared" si="0"/>
        <v>4500000</v>
      </c>
      <c r="I7" s="100">
        <f t="shared" si="0"/>
        <v>4500000</v>
      </c>
      <c r="J7" s="100">
        <f t="shared" si="0"/>
        <v>4500000</v>
      </c>
      <c r="K7" s="100">
        <f t="shared" si="0"/>
        <v>4800000</v>
      </c>
      <c r="L7" s="100">
        <f t="shared" si="0"/>
        <v>5100000</v>
      </c>
      <c r="M7" s="100">
        <f t="shared" si="0"/>
        <v>5700000</v>
      </c>
      <c r="N7" s="100">
        <f>SUM(B7:M7)</f>
        <v>52800000</v>
      </c>
    </row>
    <row r="8" spans="1:16" s="93" customFormat="1">
      <c r="A8" s="105" t="s">
        <v>239</v>
      </c>
      <c r="B8" s="102">
        <v>120</v>
      </c>
      <c r="C8" s="102">
        <v>120</v>
      </c>
      <c r="D8" s="102">
        <v>130</v>
      </c>
      <c r="E8" s="102">
        <v>140</v>
      </c>
      <c r="F8" s="102">
        <v>140</v>
      </c>
      <c r="G8" s="102">
        <v>140</v>
      </c>
      <c r="H8" s="102">
        <v>150</v>
      </c>
      <c r="I8" s="102">
        <v>150</v>
      </c>
      <c r="J8" s="102">
        <v>150</v>
      </c>
      <c r="K8" s="102">
        <v>160</v>
      </c>
      <c r="L8" s="102">
        <v>170</v>
      </c>
      <c r="M8" s="102">
        <v>190</v>
      </c>
      <c r="N8" s="100">
        <f>SUM(B8:M8)</f>
        <v>1760</v>
      </c>
    </row>
    <row r="9" spans="1:16" s="93" customFormat="1" ht="17">
      <c r="A9" s="245" t="s">
        <v>276</v>
      </c>
      <c r="B9" s="102">
        <v>30000</v>
      </c>
      <c r="C9" s="102">
        <v>30000</v>
      </c>
      <c r="D9" s="102">
        <v>30000</v>
      </c>
      <c r="E9" s="102">
        <v>30000</v>
      </c>
      <c r="F9" s="102">
        <v>30000</v>
      </c>
      <c r="G9" s="102">
        <v>30000</v>
      </c>
      <c r="H9" s="102">
        <v>30000</v>
      </c>
      <c r="I9" s="102">
        <v>30000</v>
      </c>
      <c r="J9" s="102">
        <v>30000</v>
      </c>
      <c r="K9" s="102">
        <v>30000</v>
      </c>
      <c r="L9" s="102">
        <v>30000</v>
      </c>
      <c r="M9" s="102">
        <v>30000</v>
      </c>
      <c r="N9" s="102"/>
    </row>
    <row r="10" spans="1:16" s="93" customFormat="1" ht="34">
      <c r="A10" s="244" t="s">
        <v>241</v>
      </c>
      <c r="B10" s="100">
        <f>B11*B12</f>
        <v>2500000</v>
      </c>
      <c r="C10" s="100">
        <f t="shared" ref="C10:N10" si="1">C11*C12</f>
        <v>2750000</v>
      </c>
      <c r="D10" s="100">
        <f t="shared" si="1"/>
        <v>3000000</v>
      </c>
      <c r="E10" s="100">
        <f t="shared" si="1"/>
        <v>3250000</v>
      </c>
      <c r="F10" s="100">
        <f t="shared" si="1"/>
        <v>3500000</v>
      </c>
      <c r="G10" s="100">
        <f t="shared" si="1"/>
        <v>3750000</v>
      </c>
      <c r="H10" s="100">
        <f t="shared" si="1"/>
        <v>3750000</v>
      </c>
      <c r="I10" s="100">
        <f t="shared" si="1"/>
        <v>3750000</v>
      </c>
      <c r="J10" s="100">
        <f t="shared" si="1"/>
        <v>4000000</v>
      </c>
      <c r="K10" s="100">
        <f t="shared" si="1"/>
        <v>3750000</v>
      </c>
      <c r="L10" s="100">
        <f t="shared" si="1"/>
        <v>3750000</v>
      </c>
      <c r="M10" s="100">
        <f t="shared" si="1"/>
        <v>3750000</v>
      </c>
      <c r="N10" s="100">
        <f t="shared" si="1"/>
        <v>498000000</v>
      </c>
    </row>
    <row r="11" spans="1:16" s="93" customFormat="1" ht="17">
      <c r="A11" s="245" t="s">
        <v>240</v>
      </c>
      <c r="B11" s="101">
        <v>100</v>
      </c>
      <c r="C11" s="101">
        <v>110</v>
      </c>
      <c r="D11" s="101">
        <v>120</v>
      </c>
      <c r="E11" s="101">
        <v>130</v>
      </c>
      <c r="F11" s="101">
        <v>140</v>
      </c>
      <c r="G11" s="101">
        <v>150</v>
      </c>
      <c r="H11" s="101">
        <v>150</v>
      </c>
      <c r="I11" s="101">
        <v>150</v>
      </c>
      <c r="J11" s="101">
        <v>160</v>
      </c>
      <c r="K11" s="101">
        <v>150</v>
      </c>
      <c r="L11" s="101">
        <v>150</v>
      </c>
      <c r="M11" s="101">
        <v>150</v>
      </c>
      <c r="N11" s="100">
        <f>SUM(B11:M11)</f>
        <v>1660</v>
      </c>
    </row>
    <row r="12" spans="1:16" s="93" customFormat="1" ht="17">
      <c r="A12" s="245" t="s">
        <v>219</v>
      </c>
      <c r="B12" s="101">
        <v>25000</v>
      </c>
      <c r="C12" s="101">
        <v>25000</v>
      </c>
      <c r="D12" s="101">
        <v>25000</v>
      </c>
      <c r="E12" s="101">
        <v>25000</v>
      </c>
      <c r="F12" s="101">
        <v>25000</v>
      </c>
      <c r="G12" s="101">
        <v>25000</v>
      </c>
      <c r="H12" s="101">
        <v>25000</v>
      </c>
      <c r="I12" s="101">
        <v>25000</v>
      </c>
      <c r="J12" s="101">
        <v>25000</v>
      </c>
      <c r="K12" s="101">
        <v>25000</v>
      </c>
      <c r="L12" s="101">
        <v>25000</v>
      </c>
      <c r="M12" s="101">
        <v>25000</v>
      </c>
      <c r="N12" s="102">
        <f>SUM(B12:M12)</f>
        <v>300000</v>
      </c>
    </row>
    <row r="13" spans="1:16" s="93" customFormat="1" ht="34">
      <c r="A13" s="244" t="s">
        <v>242</v>
      </c>
      <c r="B13" s="100">
        <f>B14*B15</f>
        <v>1500000</v>
      </c>
      <c r="C13" s="100">
        <f t="shared" ref="C13:L13" si="2">C14*C15</f>
        <v>1500000</v>
      </c>
      <c r="D13" s="100">
        <f t="shared" si="2"/>
        <v>1600000</v>
      </c>
      <c r="E13" s="100">
        <f t="shared" si="2"/>
        <v>1600000</v>
      </c>
      <c r="F13" s="100">
        <f t="shared" si="2"/>
        <v>1800000</v>
      </c>
      <c r="G13" s="100">
        <f t="shared" si="2"/>
        <v>1800000</v>
      </c>
      <c r="H13" s="100">
        <f t="shared" si="2"/>
        <v>1800000</v>
      </c>
      <c r="I13" s="100">
        <f t="shared" si="2"/>
        <v>1800000</v>
      </c>
      <c r="J13" s="100">
        <f t="shared" si="2"/>
        <v>1700000</v>
      </c>
      <c r="K13" s="100">
        <f t="shared" si="2"/>
        <v>1800000</v>
      </c>
      <c r="L13" s="100">
        <f t="shared" si="2"/>
        <v>1700000</v>
      </c>
      <c r="M13" s="100">
        <f>M14*M15</f>
        <v>1800000</v>
      </c>
      <c r="N13" s="100">
        <f>N14*N15</f>
        <v>1232000</v>
      </c>
    </row>
    <row r="14" spans="1:16" s="93" customFormat="1" ht="17">
      <c r="A14" s="245" t="s">
        <v>243</v>
      </c>
      <c r="B14" s="102">
        <v>75</v>
      </c>
      <c r="C14" s="102">
        <v>75</v>
      </c>
      <c r="D14" s="102">
        <v>80</v>
      </c>
      <c r="E14" s="102">
        <v>80</v>
      </c>
      <c r="F14" s="102">
        <v>90</v>
      </c>
      <c r="G14" s="102">
        <v>90</v>
      </c>
      <c r="H14" s="102">
        <v>90</v>
      </c>
      <c r="I14" s="102">
        <v>90</v>
      </c>
      <c r="J14" s="102">
        <v>85</v>
      </c>
      <c r="K14" s="102">
        <v>90</v>
      </c>
      <c r="L14" s="102">
        <v>85</v>
      </c>
      <c r="M14" s="102">
        <v>90</v>
      </c>
      <c r="N14" s="102">
        <f>N8</f>
        <v>1760</v>
      </c>
    </row>
    <row r="15" spans="1:16" s="93" customFormat="1" ht="17">
      <c r="A15" s="245" t="s">
        <v>219</v>
      </c>
      <c r="B15" s="102">
        <v>20000</v>
      </c>
      <c r="C15" s="102">
        <v>20000</v>
      </c>
      <c r="D15" s="102">
        <v>20000</v>
      </c>
      <c r="E15" s="102">
        <v>20000</v>
      </c>
      <c r="F15" s="102">
        <v>20000</v>
      </c>
      <c r="G15" s="102">
        <v>20000</v>
      </c>
      <c r="H15" s="102">
        <v>20000</v>
      </c>
      <c r="I15" s="102">
        <v>20000</v>
      </c>
      <c r="J15" s="102">
        <v>20000</v>
      </c>
      <c r="K15" s="102">
        <v>20000</v>
      </c>
      <c r="L15" s="102">
        <v>20000</v>
      </c>
      <c r="M15" s="102">
        <v>20000</v>
      </c>
      <c r="N15" s="102">
        <v>700</v>
      </c>
    </row>
    <row r="16" spans="1:16" s="93" customFormat="1" ht="17">
      <c r="A16" s="244" t="s">
        <v>244</v>
      </c>
      <c r="B16" s="100">
        <f>B17*B18</f>
        <v>1250000</v>
      </c>
      <c r="C16" s="100">
        <f t="shared" ref="C16:M16" si="3">C17*C18</f>
        <v>1500000</v>
      </c>
      <c r="D16" s="100">
        <f t="shared" si="3"/>
        <v>1750000</v>
      </c>
      <c r="E16" s="100">
        <f t="shared" si="3"/>
        <v>2000000</v>
      </c>
      <c r="F16" s="100">
        <f t="shared" si="3"/>
        <v>2250000</v>
      </c>
      <c r="G16" s="100">
        <f t="shared" si="3"/>
        <v>2250000</v>
      </c>
      <c r="H16" s="100">
        <f t="shared" si="3"/>
        <v>2250000</v>
      </c>
      <c r="I16" s="100">
        <f t="shared" si="3"/>
        <v>2250000</v>
      </c>
      <c r="J16" s="100">
        <f t="shared" si="3"/>
        <v>2250000</v>
      </c>
      <c r="K16" s="100">
        <f t="shared" si="3"/>
        <v>2250000</v>
      </c>
      <c r="L16" s="100">
        <f t="shared" si="3"/>
        <v>2250000</v>
      </c>
      <c r="M16" s="100">
        <f t="shared" si="3"/>
        <v>2250000</v>
      </c>
      <c r="N16" s="100">
        <f>SUM(B16:M16)</f>
        <v>24500000</v>
      </c>
    </row>
    <row r="17" spans="1:16" s="93" customFormat="1" ht="17">
      <c r="A17" s="245" t="s">
        <v>240</v>
      </c>
      <c r="B17" s="102">
        <v>50</v>
      </c>
      <c r="C17" s="102">
        <v>60</v>
      </c>
      <c r="D17" s="102">
        <v>70</v>
      </c>
      <c r="E17" s="102">
        <v>80</v>
      </c>
      <c r="F17" s="102">
        <v>90</v>
      </c>
      <c r="G17" s="102">
        <v>90</v>
      </c>
      <c r="H17" s="102">
        <v>90</v>
      </c>
      <c r="I17" s="102">
        <v>90</v>
      </c>
      <c r="J17" s="102">
        <v>90</v>
      </c>
      <c r="K17" s="102">
        <v>90</v>
      </c>
      <c r="L17" s="102">
        <v>90</v>
      </c>
      <c r="M17" s="102">
        <v>90</v>
      </c>
      <c r="N17" s="102"/>
    </row>
    <row r="18" spans="1:16" s="93" customFormat="1" ht="17">
      <c r="A18" s="245" t="s">
        <v>219</v>
      </c>
      <c r="B18" s="102">
        <v>25000</v>
      </c>
      <c r="C18" s="102">
        <v>25000</v>
      </c>
      <c r="D18" s="102">
        <v>25000</v>
      </c>
      <c r="E18" s="102">
        <v>25000</v>
      </c>
      <c r="F18" s="102">
        <v>25000</v>
      </c>
      <c r="G18" s="102">
        <v>25000</v>
      </c>
      <c r="H18" s="102">
        <v>25000</v>
      </c>
      <c r="I18" s="102">
        <v>25000</v>
      </c>
      <c r="J18" s="102">
        <v>25000</v>
      </c>
      <c r="K18" s="102">
        <v>25000</v>
      </c>
      <c r="L18" s="102">
        <v>25000</v>
      </c>
      <c r="M18" s="102">
        <v>25000</v>
      </c>
      <c r="N18" s="102"/>
    </row>
    <row r="19" spans="1:16" s="93" customFormat="1">
      <c r="A19" s="106" t="s">
        <v>0</v>
      </c>
      <c r="B19" s="100">
        <f>B7+B10+B13+B16</f>
        <v>8850000</v>
      </c>
      <c r="C19" s="100">
        <f>C7+C10+C13+C16</f>
        <v>9350000</v>
      </c>
      <c r="D19" s="100">
        <f t="shared" ref="D19:M19" si="4">D7+D10+D13+D16</f>
        <v>10250000</v>
      </c>
      <c r="E19" s="100">
        <f t="shared" si="4"/>
        <v>11050000</v>
      </c>
      <c r="F19" s="100">
        <f t="shared" si="4"/>
        <v>11750000</v>
      </c>
      <c r="G19" s="100">
        <f t="shared" si="4"/>
        <v>12000000</v>
      </c>
      <c r="H19" s="100">
        <f t="shared" si="4"/>
        <v>12300000</v>
      </c>
      <c r="I19" s="100">
        <f t="shared" si="4"/>
        <v>12300000</v>
      </c>
      <c r="J19" s="100">
        <f t="shared" si="4"/>
        <v>12450000</v>
      </c>
      <c r="K19" s="100">
        <f t="shared" si="4"/>
        <v>12600000</v>
      </c>
      <c r="L19" s="100">
        <f t="shared" si="4"/>
        <v>12800000</v>
      </c>
      <c r="M19" s="100">
        <f t="shared" si="4"/>
        <v>13500000</v>
      </c>
      <c r="N19" s="100">
        <f>SUM(B19:M19)</f>
        <v>139200000</v>
      </c>
    </row>
    <row r="20" spans="1:16">
      <c r="A20" s="91"/>
    </row>
    <row r="21" spans="1:16">
      <c r="A21" s="91" t="s">
        <v>29</v>
      </c>
      <c r="B21" s="100"/>
    </row>
    <row r="22" spans="1:16" ht="51">
      <c r="A22" s="104" t="s">
        <v>12</v>
      </c>
      <c r="B22" s="104" t="s">
        <v>260</v>
      </c>
      <c r="C22" s="104" t="s">
        <v>261</v>
      </c>
      <c r="D22" s="104" t="s">
        <v>262</v>
      </c>
      <c r="E22" s="104" t="s">
        <v>263</v>
      </c>
      <c r="F22" s="104" t="s">
        <v>264</v>
      </c>
      <c r="G22" s="104" t="s">
        <v>265</v>
      </c>
      <c r="H22" s="104" t="s">
        <v>266</v>
      </c>
      <c r="I22" s="104" t="s">
        <v>267</v>
      </c>
      <c r="J22" s="104" t="s">
        <v>268</v>
      </c>
      <c r="K22" s="104" t="s">
        <v>271</v>
      </c>
      <c r="L22" s="104" t="s">
        <v>269</v>
      </c>
      <c r="M22" s="104" t="s">
        <v>270</v>
      </c>
      <c r="N22" s="104" t="s">
        <v>0</v>
      </c>
      <c r="O22" s="94"/>
      <c r="P22" s="94"/>
    </row>
    <row r="23" spans="1:16" s="93" customFormat="1" ht="17">
      <c r="A23" s="244" t="s">
        <v>238</v>
      </c>
      <c r="B23" s="100">
        <f>B24*B25</f>
        <v>3900000</v>
      </c>
      <c r="C23" s="100">
        <f t="shared" ref="C23:M23" si="5">C24*C25</f>
        <v>4500000</v>
      </c>
      <c r="D23" s="100">
        <f t="shared" si="5"/>
        <v>4500000</v>
      </c>
      <c r="E23" s="100">
        <f t="shared" si="5"/>
        <v>4500000</v>
      </c>
      <c r="F23" s="100">
        <f t="shared" si="5"/>
        <v>5100000</v>
      </c>
      <c r="G23" s="100">
        <f t="shared" si="5"/>
        <v>4800000</v>
      </c>
      <c r="H23" s="100">
        <f t="shared" si="5"/>
        <v>4500000</v>
      </c>
      <c r="I23" s="100">
        <f t="shared" si="5"/>
        <v>4800000</v>
      </c>
      <c r="J23" s="100">
        <f t="shared" si="5"/>
        <v>5100000</v>
      </c>
      <c r="K23" s="100">
        <f t="shared" si="5"/>
        <v>5400000</v>
      </c>
      <c r="L23" s="100">
        <f t="shared" si="5"/>
        <v>5100000</v>
      </c>
      <c r="M23" s="100">
        <f t="shared" si="5"/>
        <v>4500000</v>
      </c>
      <c r="N23" s="100">
        <f>SUM(B23:M23)</f>
        <v>56700000</v>
      </c>
    </row>
    <row r="24" spans="1:16" s="93" customFormat="1">
      <c r="A24" s="105" t="s">
        <v>239</v>
      </c>
      <c r="B24" s="102">
        <v>130</v>
      </c>
      <c r="C24" s="102">
        <v>150</v>
      </c>
      <c r="D24" s="102">
        <v>150</v>
      </c>
      <c r="E24" s="102">
        <v>150</v>
      </c>
      <c r="F24" s="102">
        <v>170</v>
      </c>
      <c r="G24" s="102">
        <v>160</v>
      </c>
      <c r="H24" s="102">
        <v>150</v>
      </c>
      <c r="I24" s="102">
        <v>160</v>
      </c>
      <c r="J24" s="102">
        <v>170</v>
      </c>
      <c r="K24" s="102">
        <v>180</v>
      </c>
      <c r="L24" s="102">
        <v>170</v>
      </c>
      <c r="M24" s="102">
        <v>150</v>
      </c>
      <c r="N24" s="100">
        <f>SUM(B24:M24)</f>
        <v>1890</v>
      </c>
    </row>
    <row r="25" spans="1:16" s="93" customFormat="1" ht="17">
      <c r="A25" s="245" t="s">
        <v>219</v>
      </c>
      <c r="B25" s="102">
        <v>30000</v>
      </c>
      <c r="C25" s="102">
        <f>B25</f>
        <v>30000</v>
      </c>
      <c r="D25" s="102">
        <f>C25</f>
        <v>30000</v>
      </c>
      <c r="E25" s="102">
        <f>D25</f>
        <v>30000</v>
      </c>
      <c r="F25" s="102">
        <f>C25</f>
        <v>30000</v>
      </c>
      <c r="G25" s="102">
        <f t="shared" ref="G25:M25" si="6">F25</f>
        <v>30000</v>
      </c>
      <c r="H25" s="102">
        <f t="shared" si="6"/>
        <v>30000</v>
      </c>
      <c r="I25" s="102">
        <f t="shared" si="6"/>
        <v>30000</v>
      </c>
      <c r="J25" s="102">
        <f t="shared" si="6"/>
        <v>30000</v>
      </c>
      <c r="K25" s="102">
        <f t="shared" si="6"/>
        <v>30000</v>
      </c>
      <c r="L25" s="102">
        <f t="shared" si="6"/>
        <v>30000</v>
      </c>
      <c r="M25" s="102">
        <f t="shared" si="6"/>
        <v>30000</v>
      </c>
      <c r="N25" s="102"/>
    </row>
    <row r="26" spans="1:16" s="93" customFormat="1" ht="34">
      <c r="A26" s="244" t="s">
        <v>241</v>
      </c>
      <c r="B26" s="100">
        <f t="shared" ref="B26:N26" si="7">B27*B28</f>
        <v>4950000</v>
      </c>
      <c r="C26" s="100">
        <f t="shared" si="7"/>
        <v>5280000</v>
      </c>
      <c r="D26" s="100">
        <f t="shared" si="7"/>
        <v>5280000</v>
      </c>
      <c r="E26" s="100">
        <f t="shared" si="7"/>
        <v>5280000</v>
      </c>
      <c r="F26" s="100">
        <f t="shared" si="7"/>
        <v>5610000</v>
      </c>
      <c r="G26" s="100">
        <f t="shared" si="7"/>
        <v>5940000</v>
      </c>
      <c r="H26" s="100">
        <f t="shared" si="7"/>
        <v>5940000</v>
      </c>
      <c r="I26" s="100">
        <f t="shared" si="7"/>
        <v>6270000</v>
      </c>
      <c r="J26" s="100">
        <f t="shared" si="7"/>
        <v>6600000</v>
      </c>
      <c r="K26" s="100">
        <f t="shared" si="7"/>
        <v>5940000</v>
      </c>
      <c r="L26" s="100">
        <f t="shared" si="7"/>
        <v>6600000</v>
      </c>
      <c r="M26" s="100">
        <f t="shared" si="7"/>
        <v>6600000</v>
      </c>
      <c r="N26" s="100">
        <f t="shared" si="7"/>
        <v>5325000</v>
      </c>
    </row>
    <row r="27" spans="1:16" s="93" customFormat="1" ht="17">
      <c r="A27" s="245" t="s">
        <v>240</v>
      </c>
      <c r="B27" s="102">
        <v>150</v>
      </c>
      <c r="C27" s="102">
        <v>160</v>
      </c>
      <c r="D27" s="102">
        <v>160</v>
      </c>
      <c r="E27" s="102">
        <v>160</v>
      </c>
      <c r="F27" s="102">
        <v>170</v>
      </c>
      <c r="G27" s="102">
        <v>180</v>
      </c>
      <c r="H27" s="102">
        <v>180</v>
      </c>
      <c r="I27" s="102">
        <v>190</v>
      </c>
      <c r="J27" s="102">
        <v>200</v>
      </c>
      <c r="K27" s="102">
        <v>180</v>
      </c>
      <c r="L27" s="102">
        <v>200</v>
      </c>
      <c r="M27" s="102">
        <v>200</v>
      </c>
      <c r="N27" s="100">
        <f>SUM(B27:M27)</f>
        <v>2130</v>
      </c>
    </row>
    <row r="28" spans="1:16" s="93" customFormat="1" ht="17">
      <c r="A28" s="245" t="s">
        <v>219</v>
      </c>
      <c r="B28" s="102">
        <v>33000</v>
      </c>
      <c r="C28" s="102">
        <v>33000</v>
      </c>
      <c r="D28" s="102">
        <v>33000</v>
      </c>
      <c r="E28" s="102">
        <v>33000</v>
      </c>
      <c r="F28" s="102">
        <v>33000</v>
      </c>
      <c r="G28" s="102">
        <v>33000</v>
      </c>
      <c r="H28" s="102">
        <v>33000</v>
      </c>
      <c r="I28" s="102">
        <v>33000</v>
      </c>
      <c r="J28" s="102">
        <v>33000</v>
      </c>
      <c r="K28" s="102">
        <v>33000</v>
      </c>
      <c r="L28" s="102">
        <v>33000</v>
      </c>
      <c r="M28" s="102">
        <v>33000</v>
      </c>
      <c r="N28" s="102">
        <v>2500</v>
      </c>
    </row>
    <row r="29" spans="1:16" s="93" customFormat="1" ht="34">
      <c r="A29" s="244" t="s">
        <v>242</v>
      </c>
      <c r="B29" s="100">
        <f t="shared" ref="B29:N29" si="8">B30*B31</f>
        <v>3250000</v>
      </c>
      <c r="C29" s="100">
        <f t="shared" si="8"/>
        <v>3750000</v>
      </c>
      <c r="D29" s="100">
        <f t="shared" si="8"/>
        <v>3750000</v>
      </c>
      <c r="E29" s="100">
        <f t="shared" si="8"/>
        <v>3750000</v>
      </c>
      <c r="F29" s="100">
        <f t="shared" si="8"/>
        <v>4250000</v>
      </c>
      <c r="G29" s="100">
        <f t="shared" si="8"/>
        <v>4000000</v>
      </c>
      <c r="H29" s="100">
        <f t="shared" si="8"/>
        <v>3750000</v>
      </c>
      <c r="I29" s="100">
        <f t="shared" si="8"/>
        <v>4000000</v>
      </c>
      <c r="J29" s="100">
        <f t="shared" si="8"/>
        <v>4250000</v>
      </c>
      <c r="K29" s="100">
        <f t="shared" si="8"/>
        <v>4500000</v>
      </c>
      <c r="L29" s="100">
        <f t="shared" si="8"/>
        <v>4250000</v>
      </c>
      <c r="M29" s="100">
        <f t="shared" si="8"/>
        <v>3750000</v>
      </c>
      <c r="N29" s="100">
        <f t="shared" si="8"/>
        <v>1701000</v>
      </c>
    </row>
    <row r="30" spans="1:16" s="93" customFormat="1" ht="17">
      <c r="A30" s="245" t="s">
        <v>243</v>
      </c>
      <c r="B30" s="102">
        <f>B24</f>
        <v>130</v>
      </c>
      <c r="C30" s="102">
        <f t="shared" ref="C30:M30" si="9">C24</f>
        <v>150</v>
      </c>
      <c r="D30" s="102">
        <f t="shared" si="9"/>
        <v>150</v>
      </c>
      <c r="E30" s="102">
        <f t="shared" si="9"/>
        <v>150</v>
      </c>
      <c r="F30" s="102">
        <f t="shared" si="9"/>
        <v>170</v>
      </c>
      <c r="G30" s="102">
        <f t="shared" si="9"/>
        <v>160</v>
      </c>
      <c r="H30" s="102">
        <f t="shared" si="9"/>
        <v>150</v>
      </c>
      <c r="I30" s="102">
        <f t="shared" si="9"/>
        <v>160</v>
      </c>
      <c r="J30" s="102">
        <f t="shared" si="9"/>
        <v>170</v>
      </c>
      <c r="K30" s="102">
        <f t="shared" si="9"/>
        <v>180</v>
      </c>
      <c r="L30" s="102">
        <f t="shared" si="9"/>
        <v>170</v>
      </c>
      <c r="M30" s="102">
        <f t="shared" si="9"/>
        <v>150</v>
      </c>
      <c r="N30" s="102">
        <f>N24</f>
        <v>1890</v>
      </c>
    </row>
    <row r="31" spans="1:16" s="93" customFormat="1" ht="17">
      <c r="A31" s="245" t="s">
        <v>219</v>
      </c>
      <c r="B31" s="102">
        <v>25000</v>
      </c>
      <c r="C31" s="102">
        <v>25000</v>
      </c>
      <c r="D31" s="102">
        <v>25000</v>
      </c>
      <c r="E31" s="102">
        <v>25000</v>
      </c>
      <c r="F31" s="102">
        <v>25000</v>
      </c>
      <c r="G31" s="102">
        <v>25000</v>
      </c>
      <c r="H31" s="102">
        <v>25000</v>
      </c>
      <c r="I31" s="102">
        <v>25000</v>
      </c>
      <c r="J31" s="102">
        <v>25000</v>
      </c>
      <c r="K31" s="102">
        <v>25000</v>
      </c>
      <c r="L31" s="102">
        <v>25000</v>
      </c>
      <c r="M31" s="102">
        <v>25000</v>
      </c>
      <c r="N31" s="102">
        <v>900</v>
      </c>
    </row>
    <row r="32" spans="1:16" s="93" customFormat="1" ht="17">
      <c r="A32" s="244" t="s">
        <v>244</v>
      </c>
      <c r="B32" s="100">
        <f t="shared" ref="B32:M32" si="10">B33*B34</f>
        <v>3750000</v>
      </c>
      <c r="C32" s="100">
        <f t="shared" si="10"/>
        <v>4500000</v>
      </c>
      <c r="D32" s="100">
        <f t="shared" si="10"/>
        <v>5250000</v>
      </c>
      <c r="E32" s="100">
        <f t="shared" si="10"/>
        <v>5250000</v>
      </c>
      <c r="F32" s="100">
        <f t="shared" si="10"/>
        <v>5250000</v>
      </c>
      <c r="G32" s="100">
        <f t="shared" si="10"/>
        <v>2000000</v>
      </c>
      <c r="H32" s="100">
        <f t="shared" si="10"/>
        <v>6750000</v>
      </c>
      <c r="I32" s="100">
        <f t="shared" si="10"/>
        <v>6750000</v>
      </c>
      <c r="J32" s="100">
        <f t="shared" si="10"/>
        <v>6750000</v>
      </c>
      <c r="K32" s="100">
        <f t="shared" si="10"/>
        <v>7500000</v>
      </c>
      <c r="L32" s="100">
        <f t="shared" si="10"/>
        <v>7500000</v>
      </c>
      <c r="M32" s="100">
        <f t="shared" si="10"/>
        <v>7500000</v>
      </c>
      <c r="N32" s="100">
        <f>SUM(B32:M32)</f>
        <v>68750000</v>
      </c>
    </row>
    <row r="33" spans="1:14" s="93" customFormat="1" ht="17">
      <c r="A33" s="245" t="s">
        <v>240</v>
      </c>
      <c r="B33" s="102">
        <v>50</v>
      </c>
      <c r="C33" s="102">
        <v>60</v>
      </c>
      <c r="D33" s="102">
        <v>70</v>
      </c>
      <c r="E33" s="102">
        <v>70</v>
      </c>
      <c r="F33" s="102">
        <v>70</v>
      </c>
      <c r="G33" s="102">
        <v>80</v>
      </c>
      <c r="H33" s="102">
        <v>90</v>
      </c>
      <c r="I33" s="102">
        <v>90</v>
      </c>
      <c r="J33" s="102">
        <v>90</v>
      </c>
      <c r="K33" s="102">
        <v>100</v>
      </c>
      <c r="L33" s="102">
        <v>100</v>
      </c>
      <c r="M33" s="102">
        <v>100</v>
      </c>
      <c r="N33" s="102"/>
    </row>
    <row r="34" spans="1:14" s="93" customFormat="1" ht="17">
      <c r="A34" s="245" t="s">
        <v>219</v>
      </c>
      <c r="B34" s="102">
        <v>75000</v>
      </c>
      <c r="C34" s="102">
        <v>75000</v>
      </c>
      <c r="D34" s="102">
        <v>75000</v>
      </c>
      <c r="E34" s="102">
        <v>75000</v>
      </c>
      <c r="F34" s="102">
        <v>75000</v>
      </c>
      <c r="G34" s="102">
        <v>25000</v>
      </c>
      <c r="H34" s="102">
        <v>75000</v>
      </c>
      <c r="I34" s="102">
        <v>75000</v>
      </c>
      <c r="J34" s="102">
        <v>75000</v>
      </c>
      <c r="K34" s="102">
        <v>75000</v>
      </c>
      <c r="L34" s="102">
        <v>75000</v>
      </c>
      <c r="M34" s="102">
        <v>75000</v>
      </c>
      <c r="N34" s="102"/>
    </row>
    <row r="35" spans="1:14" s="93" customFormat="1">
      <c r="A35" s="106" t="s">
        <v>0</v>
      </c>
      <c r="B35" s="100">
        <f>B23+B26+B29+B32</f>
        <v>15850000</v>
      </c>
      <c r="C35" s="100">
        <f t="shared" ref="C35:M35" si="11">C23+C26+C29+C32</f>
        <v>18030000</v>
      </c>
      <c r="D35" s="100">
        <f t="shared" si="11"/>
        <v>18780000</v>
      </c>
      <c r="E35" s="100">
        <f t="shared" si="11"/>
        <v>18780000</v>
      </c>
      <c r="F35" s="100">
        <f t="shared" si="11"/>
        <v>20210000</v>
      </c>
      <c r="G35" s="100">
        <f t="shared" si="11"/>
        <v>16740000</v>
      </c>
      <c r="H35" s="100">
        <f t="shared" si="11"/>
        <v>20940000</v>
      </c>
      <c r="I35" s="100">
        <f t="shared" si="11"/>
        <v>21820000</v>
      </c>
      <c r="J35" s="100">
        <f t="shared" si="11"/>
        <v>22700000</v>
      </c>
      <c r="K35" s="100">
        <f t="shared" si="11"/>
        <v>23340000</v>
      </c>
      <c r="L35" s="100">
        <f t="shared" si="11"/>
        <v>23450000</v>
      </c>
      <c r="M35" s="100">
        <f t="shared" si="11"/>
        <v>22350000</v>
      </c>
      <c r="N35" s="100">
        <f>SUM(B35:M35)</f>
        <v>242990000</v>
      </c>
    </row>
    <row r="37" spans="1:14" ht="17">
      <c r="B37" s="104" t="s">
        <v>13</v>
      </c>
      <c r="C37" s="104" t="s">
        <v>14</v>
      </c>
      <c r="D37" s="104" t="s">
        <v>15</v>
      </c>
      <c r="E37" s="104" t="s">
        <v>16</v>
      </c>
      <c r="F37" s="104" t="s">
        <v>17</v>
      </c>
      <c r="G37" s="104" t="s">
        <v>18</v>
      </c>
      <c r="H37" s="104" t="s">
        <v>19</v>
      </c>
      <c r="I37" s="104" t="s">
        <v>20</v>
      </c>
      <c r="J37" s="104" t="s">
        <v>21</v>
      </c>
      <c r="K37" s="104" t="s">
        <v>22</v>
      </c>
      <c r="L37" s="104" t="s">
        <v>23</v>
      </c>
      <c r="M37" s="104" t="s">
        <v>24</v>
      </c>
      <c r="N37" s="104" t="s">
        <v>0</v>
      </c>
    </row>
    <row r="38" spans="1:14">
      <c r="A38" s="114" t="s">
        <v>166</v>
      </c>
      <c r="B38" s="102">
        <f>B19*12%</f>
        <v>1062000</v>
      </c>
      <c r="C38" s="102">
        <f t="shared" ref="C38:M38" si="12">C19*12%</f>
        <v>1122000</v>
      </c>
      <c r="D38" s="102">
        <f t="shared" si="12"/>
        <v>1230000</v>
      </c>
      <c r="E38" s="102">
        <f t="shared" si="12"/>
        <v>1326000</v>
      </c>
      <c r="F38" s="102">
        <f t="shared" si="12"/>
        <v>1410000</v>
      </c>
      <c r="G38" s="102">
        <f t="shared" si="12"/>
        <v>1440000</v>
      </c>
      <c r="H38" s="102">
        <f t="shared" si="12"/>
        <v>1476000</v>
      </c>
      <c r="I38" s="102">
        <f t="shared" si="12"/>
        <v>1476000</v>
      </c>
      <c r="J38" s="102">
        <f t="shared" si="12"/>
        <v>1494000</v>
      </c>
      <c r="K38" s="102">
        <f t="shared" si="12"/>
        <v>1512000</v>
      </c>
      <c r="L38" s="102">
        <f t="shared" si="12"/>
        <v>1536000</v>
      </c>
      <c r="M38" s="102">
        <f t="shared" si="12"/>
        <v>1620000</v>
      </c>
      <c r="N38" s="100">
        <f>SUM(B38:M38)</f>
        <v>16704000</v>
      </c>
    </row>
    <row r="39" spans="1:14">
      <c r="A39" s="114" t="s">
        <v>167</v>
      </c>
      <c r="B39" s="102">
        <f>B35*12%</f>
        <v>1902000</v>
      </c>
      <c r="C39" s="102">
        <f t="shared" ref="C39:M39" si="13">C35*12%</f>
        <v>2163600</v>
      </c>
      <c r="D39" s="102">
        <f t="shared" si="13"/>
        <v>2253600</v>
      </c>
      <c r="E39" s="102">
        <f t="shared" si="13"/>
        <v>2253600</v>
      </c>
      <c r="F39" s="102">
        <f t="shared" si="13"/>
        <v>2425200</v>
      </c>
      <c r="G39" s="102">
        <f t="shared" si="13"/>
        <v>2008800</v>
      </c>
      <c r="H39" s="102">
        <f t="shared" si="13"/>
        <v>2512800</v>
      </c>
      <c r="I39" s="102">
        <f t="shared" si="13"/>
        <v>2618400</v>
      </c>
      <c r="J39" s="102">
        <f t="shared" si="13"/>
        <v>2724000</v>
      </c>
      <c r="K39" s="102">
        <f t="shared" si="13"/>
        <v>2800800</v>
      </c>
      <c r="L39" s="102">
        <f t="shared" si="13"/>
        <v>2814000</v>
      </c>
      <c r="M39" s="102">
        <f t="shared" si="13"/>
        <v>2682000</v>
      </c>
      <c r="N39" s="100">
        <f>SUM(B39:M39)</f>
        <v>29158800</v>
      </c>
    </row>
    <row r="40" spans="1:14">
      <c r="A40" s="113"/>
    </row>
    <row r="41" spans="1:14">
      <c r="A41" s="92" t="s">
        <v>144</v>
      </c>
    </row>
    <row r="42" spans="1:14">
      <c r="A42" s="92" t="s">
        <v>176</v>
      </c>
    </row>
  </sheetData>
  <phoneticPr fontId="2" type="noConversion"/>
  <pageMargins left="0.43307086614173229" right="0.47244094488188981" top="0.47244094488188981" bottom="0.47244094488188981" header="0.11811023622047245" footer="0.11811023622047245"/>
  <pageSetup paperSize="9" scale="63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3"/>
  <sheetViews>
    <sheetView topLeftCell="A2" zoomScaleNormal="100" workbookViewId="0">
      <selection activeCell="B14" sqref="B14:N16"/>
    </sheetView>
  </sheetViews>
  <sheetFormatPr baseColWidth="10" defaultColWidth="9.1640625" defaultRowHeight="16"/>
  <cols>
    <col min="1" max="1" width="37.6640625" style="92" customWidth="1"/>
    <col min="2" max="2" width="14.5" style="92" bestFit="1" customWidth="1"/>
    <col min="3" max="3" width="17" style="92" customWidth="1"/>
    <col min="4" max="4" width="17.6640625" style="92" customWidth="1"/>
    <col min="5" max="13" width="13.6640625" style="92" bestFit="1" customWidth="1"/>
    <col min="14" max="14" width="16.1640625" style="93" bestFit="1" customWidth="1"/>
    <col min="15" max="15" width="13.5" style="92" customWidth="1"/>
    <col min="16" max="16384" width="9.1640625" style="92"/>
  </cols>
  <sheetData>
    <row r="1" spans="1:17">
      <c r="A1" s="91"/>
      <c r="P1" s="94"/>
    </row>
    <row r="2" spans="1:17">
      <c r="A2" s="91"/>
      <c r="P2" s="94"/>
      <c r="Q2" s="94"/>
    </row>
    <row r="3" spans="1:17">
      <c r="A3" s="71" t="s">
        <v>212</v>
      </c>
      <c r="C3" s="95"/>
      <c r="D3" s="96"/>
      <c r="E3" s="97"/>
      <c r="P3" s="94"/>
      <c r="Q3" s="94"/>
    </row>
    <row r="4" spans="1:17">
      <c r="A4" s="91"/>
      <c r="E4" s="98"/>
      <c r="P4" s="94"/>
      <c r="Q4" s="94"/>
    </row>
    <row r="5" spans="1:17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P5" s="94"/>
      <c r="Q5" s="94"/>
    </row>
    <row r="6" spans="1:17" ht="51">
      <c r="A6" s="104" t="s">
        <v>145</v>
      </c>
      <c r="B6" s="104" t="s">
        <v>248</v>
      </c>
      <c r="C6" s="104" t="s">
        <v>249</v>
      </c>
      <c r="D6" s="104" t="s">
        <v>250</v>
      </c>
      <c r="E6" s="104" t="s">
        <v>251</v>
      </c>
      <c r="F6" s="104" t="s">
        <v>252</v>
      </c>
      <c r="G6" s="104" t="s">
        <v>253</v>
      </c>
      <c r="H6" s="104" t="s">
        <v>254</v>
      </c>
      <c r="I6" s="104" t="s">
        <v>255</v>
      </c>
      <c r="J6" s="104" t="s">
        <v>256</v>
      </c>
      <c r="K6" s="104" t="s">
        <v>257</v>
      </c>
      <c r="L6" s="104" t="s">
        <v>258</v>
      </c>
      <c r="M6" s="104" t="s">
        <v>259</v>
      </c>
      <c r="N6" s="104" t="s">
        <v>0</v>
      </c>
      <c r="P6" s="94"/>
      <c r="Q6" s="94"/>
    </row>
    <row r="7" spans="1:17" s="93" customFormat="1" ht="17">
      <c r="A7" s="249" t="s">
        <v>245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0">
        <f>SUM(B7:M7)</f>
        <v>0</v>
      </c>
      <c r="O7" s="92"/>
    </row>
    <row r="8" spans="1:17" s="93" customFormat="1" ht="17">
      <c r="A8" s="249" t="s">
        <v>246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0">
        <f>SUM(B8:M8)</f>
        <v>0</v>
      </c>
      <c r="O8" s="92"/>
    </row>
    <row r="9" spans="1:17" s="93" customFormat="1" ht="17">
      <c r="A9" s="249" t="s">
        <v>247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100">
        <f>SUM(B9:M9)</f>
        <v>0</v>
      </c>
      <c r="O9" s="92"/>
    </row>
    <row r="10" spans="1:17" s="93" customFormat="1">
      <c r="A10" s="106" t="s">
        <v>0</v>
      </c>
      <c r="B10" s="100">
        <f>SUM(B7:B9)</f>
        <v>0</v>
      </c>
      <c r="C10" s="100">
        <f t="shared" ref="C10:M10" si="0">SUM(C7:C9)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00">
        <f t="shared" si="0"/>
        <v>0</v>
      </c>
      <c r="H10" s="100">
        <f t="shared" si="0"/>
        <v>0</v>
      </c>
      <c r="I10" s="100">
        <f t="shared" si="0"/>
        <v>0</v>
      </c>
      <c r="J10" s="100">
        <f t="shared" si="0"/>
        <v>0</v>
      </c>
      <c r="K10" s="100">
        <f t="shared" si="0"/>
        <v>0</v>
      </c>
      <c r="L10" s="100">
        <f t="shared" si="0"/>
        <v>0</v>
      </c>
      <c r="M10" s="100">
        <f t="shared" si="0"/>
        <v>0</v>
      </c>
      <c r="N10" s="100">
        <f>SUM(B10:M10)</f>
        <v>0</v>
      </c>
      <c r="O10" s="92"/>
    </row>
    <row r="11" spans="1:17">
      <c r="A11" s="91"/>
    </row>
    <row r="12" spans="1:17">
      <c r="A12" s="91" t="s">
        <v>29</v>
      </c>
    </row>
    <row r="13" spans="1:17" ht="51">
      <c r="A13" s="104" t="s">
        <v>12</v>
      </c>
      <c r="B13" s="104" t="s">
        <v>260</v>
      </c>
      <c r="C13" s="104" t="s">
        <v>261</v>
      </c>
      <c r="D13" s="104" t="s">
        <v>262</v>
      </c>
      <c r="E13" s="104" t="s">
        <v>263</v>
      </c>
      <c r="F13" s="104" t="s">
        <v>264</v>
      </c>
      <c r="G13" s="104" t="s">
        <v>265</v>
      </c>
      <c r="H13" s="104" t="s">
        <v>266</v>
      </c>
      <c r="I13" s="104" t="s">
        <v>267</v>
      </c>
      <c r="J13" s="104" t="s">
        <v>268</v>
      </c>
      <c r="K13" s="104" t="s">
        <v>271</v>
      </c>
      <c r="L13" s="104" t="s">
        <v>269</v>
      </c>
      <c r="M13" s="104" t="s">
        <v>270</v>
      </c>
      <c r="N13" s="104" t="s">
        <v>0</v>
      </c>
      <c r="P13" s="94"/>
      <c r="Q13" s="94"/>
    </row>
    <row r="14" spans="1:17" s="93" customFormat="1" ht="17">
      <c r="A14" s="249" t="s">
        <v>245</v>
      </c>
      <c r="B14" s="10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100"/>
    </row>
    <row r="15" spans="1:17" s="93" customFormat="1" ht="17">
      <c r="A15" s="249" t="s">
        <v>246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100"/>
    </row>
    <row r="16" spans="1:17" s="93" customFormat="1" ht="17">
      <c r="A16" s="249" t="s">
        <v>247</v>
      </c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100"/>
    </row>
    <row r="17" spans="1:14" s="93" customFormat="1">
      <c r="A17" s="106" t="s">
        <v>0</v>
      </c>
      <c r="B17" s="100">
        <f>SUM(B14:B16)</f>
        <v>0</v>
      </c>
      <c r="C17" s="100">
        <f t="shared" ref="C17:M17" si="1">SUM(C14:C16)</f>
        <v>0</v>
      </c>
      <c r="D17" s="100">
        <f t="shared" si="1"/>
        <v>0</v>
      </c>
      <c r="E17" s="100">
        <f t="shared" si="1"/>
        <v>0</v>
      </c>
      <c r="F17" s="100">
        <f t="shared" si="1"/>
        <v>0</v>
      </c>
      <c r="G17" s="100">
        <f t="shared" si="1"/>
        <v>0</v>
      </c>
      <c r="H17" s="100">
        <f t="shared" si="1"/>
        <v>0</v>
      </c>
      <c r="I17" s="100">
        <f t="shared" si="1"/>
        <v>0</v>
      </c>
      <c r="J17" s="100">
        <f t="shared" si="1"/>
        <v>0</v>
      </c>
      <c r="K17" s="100">
        <f t="shared" si="1"/>
        <v>0</v>
      </c>
      <c r="L17" s="100">
        <f t="shared" si="1"/>
        <v>0</v>
      </c>
      <c r="M17" s="100">
        <f t="shared" si="1"/>
        <v>0</v>
      </c>
      <c r="N17" s="100">
        <f>SUM(B17:M17)</f>
        <v>0</v>
      </c>
    </row>
    <row r="23" spans="1:14" hidden="1">
      <c r="A23" s="193"/>
      <c r="B23" s="194"/>
      <c r="C23" s="194"/>
    </row>
    <row r="24" spans="1:14" hidden="1">
      <c r="A24" s="193"/>
      <c r="B24" s="194"/>
      <c r="C24" s="194"/>
    </row>
    <row r="25" spans="1:14" hidden="1">
      <c r="A25" s="195"/>
      <c r="B25" s="195"/>
      <c r="C25" s="196"/>
    </row>
    <row r="26" spans="1:14" hidden="1">
      <c r="A26" s="196"/>
      <c r="B26" s="196"/>
      <c r="C26" s="196"/>
    </row>
    <row r="27" spans="1:14" hidden="1">
      <c r="A27" s="197"/>
      <c r="B27" s="221"/>
      <c r="C27" s="198"/>
    </row>
    <row r="28" spans="1:14" hidden="1">
      <c r="A28" s="199"/>
      <c r="B28" s="221"/>
      <c r="C28" s="198"/>
    </row>
    <row r="29" spans="1:14" hidden="1">
      <c r="A29" s="199"/>
      <c r="B29" s="221"/>
      <c r="C29" s="198"/>
    </row>
    <row r="30" spans="1:14" hidden="1">
      <c r="A30" s="199"/>
      <c r="B30" s="221"/>
      <c r="C30" s="198"/>
    </row>
    <row r="31" spans="1:14" hidden="1">
      <c r="A31" s="197"/>
      <c r="B31" s="221"/>
      <c r="C31" s="198"/>
    </row>
    <row r="32" spans="1:14" hidden="1">
      <c r="A32" s="199"/>
      <c r="B32" s="221"/>
      <c r="C32" s="198"/>
    </row>
    <row r="33" spans="1:3" hidden="1">
      <c r="A33" s="199"/>
      <c r="B33" s="221"/>
      <c r="C33" s="198"/>
    </row>
    <row r="34" spans="1:3" hidden="1">
      <c r="A34" s="199"/>
      <c r="B34" s="221"/>
      <c r="C34" s="198"/>
    </row>
    <row r="35" spans="1:3" hidden="1">
      <c r="A35" s="199"/>
      <c r="B35" s="221"/>
      <c r="C35" s="198"/>
    </row>
    <row r="36" spans="1:3" hidden="1">
      <c r="A36" s="197"/>
      <c r="B36" s="221"/>
      <c r="C36" s="198"/>
    </row>
    <row r="37" spans="1:3" hidden="1">
      <c r="A37" s="197"/>
      <c r="B37" s="221"/>
      <c r="C37" s="198"/>
    </row>
    <row r="38" spans="1:3" hidden="1">
      <c r="A38" s="199"/>
      <c r="B38" s="221"/>
      <c r="C38" s="198"/>
    </row>
    <row r="39" spans="1:3" hidden="1">
      <c r="A39" s="199"/>
      <c r="B39" s="221"/>
      <c r="C39" s="198"/>
    </row>
    <row r="40" spans="1:3" hidden="1">
      <c r="A40" s="199"/>
      <c r="B40" s="221"/>
      <c r="C40" s="198"/>
    </row>
    <row r="41" spans="1:3" hidden="1">
      <c r="A41" s="199"/>
      <c r="B41" s="221"/>
      <c r="C41" s="200"/>
    </row>
    <row r="42" spans="1:3" hidden="1">
      <c r="A42" s="199"/>
      <c r="B42" s="221"/>
      <c r="C42" s="198"/>
    </row>
    <row r="43" spans="1:3" hidden="1">
      <c r="A43" s="195"/>
      <c r="B43" s="201"/>
      <c r="C43" s="202"/>
    </row>
  </sheetData>
  <phoneticPr fontId="29" type="noConversion"/>
  <pageMargins left="0.74803149606299213" right="0.74803149606299213" top="0.43307086614173229" bottom="0.51181102362204722" header="0.19685039370078741" footer="0.19685039370078741"/>
  <pageSetup paperSize="9" scale="60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2"/>
  <sheetViews>
    <sheetView workbookViewId="0">
      <selection activeCell="B9" sqref="B9"/>
    </sheetView>
  </sheetViews>
  <sheetFormatPr baseColWidth="10" defaultColWidth="9.1640625" defaultRowHeight="16"/>
  <cols>
    <col min="1" max="1" width="27.5" style="227" customWidth="1"/>
    <col min="2" max="2" width="14.5" style="226" bestFit="1" customWidth="1"/>
    <col min="3" max="4" width="11.33203125" style="226" bestFit="1" customWidth="1"/>
    <col min="5" max="6" width="12.6640625" style="226" customWidth="1"/>
    <col min="7" max="7" width="14.5" style="226" customWidth="1"/>
    <col min="8" max="8" width="15.1640625" style="226" customWidth="1"/>
    <col min="9" max="9" width="16" style="226" customWidth="1"/>
    <col min="10" max="10" width="15.1640625" style="226" customWidth="1"/>
    <col min="11" max="11" width="16.33203125" style="226" customWidth="1"/>
    <col min="12" max="12" width="18" style="226" customWidth="1"/>
    <col min="13" max="16384" width="9.1640625" style="226"/>
  </cols>
  <sheetData>
    <row r="1" spans="1:12">
      <c r="A1" s="225"/>
    </row>
    <row r="3" spans="1:12">
      <c r="A3" s="227" t="s">
        <v>82</v>
      </c>
    </row>
    <row r="5" spans="1:12" s="229" customFormat="1">
      <c r="A5" s="228"/>
      <c r="B5" s="228"/>
      <c r="C5" s="228" t="s">
        <v>28</v>
      </c>
      <c r="D5" s="228" t="s">
        <v>29</v>
      </c>
      <c r="E5" s="228" t="s">
        <v>30</v>
      </c>
      <c r="F5" s="228"/>
      <c r="G5" s="228"/>
      <c r="H5" s="228"/>
      <c r="I5" s="228"/>
      <c r="J5" s="228"/>
      <c r="K5" s="228"/>
      <c r="L5" s="228"/>
    </row>
    <row r="6" spans="1:12" s="229" customFormat="1">
      <c r="A6" s="230" t="s">
        <v>83</v>
      </c>
      <c r="B6" s="230" t="s">
        <v>84</v>
      </c>
      <c r="C6" s="230" t="s">
        <v>73</v>
      </c>
      <c r="D6" s="230" t="s">
        <v>73</v>
      </c>
      <c r="E6" s="230" t="s">
        <v>73</v>
      </c>
      <c r="F6" s="230"/>
      <c r="G6" s="230"/>
      <c r="H6" s="230"/>
      <c r="I6" s="230"/>
      <c r="J6" s="230"/>
      <c r="K6" s="230"/>
      <c r="L6" s="230"/>
    </row>
    <row r="7" spans="1:12">
      <c r="A7" s="231" t="s">
        <v>85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3"/>
    </row>
    <row r="8" spans="1:12">
      <c r="A8" s="234" t="s">
        <v>81</v>
      </c>
      <c r="B8" s="235">
        <f>'2.Персонал'!C6</f>
        <v>7110000</v>
      </c>
      <c r="C8" s="236">
        <f t="shared" ref="C8:C16" si="0">B8*12</f>
        <v>85320000</v>
      </c>
      <c r="D8" s="236">
        <f t="shared" ref="D8:E8" si="1">C8*1.02</f>
        <v>87026400</v>
      </c>
      <c r="E8" s="236">
        <f t="shared" si="1"/>
        <v>88766928</v>
      </c>
      <c r="F8" s="236"/>
      <c r="G8" s="236"/>
      <c r="H8" s="236"/>
      <c r="I8" s="236"/>
      <c r="J8" s="236"/>
      <c r="K8" s="236"/>
      <c r="L8" s="236"/>
    </row>
    <row r="9" spans="1:12">
      <c r="A9" s="237" t="s">
        <v>86</v>
      </c>
      <c r="B9" s="238">
        <v>200000</v>
      </c>
      <c r="C9" s="239">
        <f t="shared" si="0"/>
        <v>2400000</v>
      </c>
      <c r="D9" s="239">
        <f t="shared" ref="D9:E16" si="2">C9*1.02</f>
        <v>2448000</v>
      </c>
      <c r="E9" s="239">
        <f t="shared" si="2"/>
        <v>2496960</v>
      </c>
      <c r="F9" s="239"/>
      <c r="G9" s="239"/>
      <c r="H9" s="239"/>
      <c r="I9" s="239"/>
      <c r="J9" s="239"/>
      <c r="K9" s="239"/>
      <c r="L9" s="239"/>
    </row>
    <row r="10" spans="1:12">
      <c r="A10" s="237" t="s">
        <v>214</v>
      </c>
      <c r="B10" s="238">
        <v>1500000</v>
      </c>
      <c r="C10" s="246">
        <f>B10*12</f>
        <v>18000000</v>
      </c>
      <c r="D10" s="246">
        <f>C10*1.02</f>
        <v>18360000</v>
      </c>
      <c r="E10" s="246">
        <f>D10*1.02</f>
        <v>18727200</v>
      </c>
      <c r="F10" s="246"/>
      <c r="G10" s="246"/>
      <c r="H10" s="246"/>
      <c r="I10" s="246"/>
      <c r="J10" s="246"/>
      <c r="K10" s="246"/>
      <c r="L10" s="246"/>
    </row>
    <row r="11" spans="1:12">
      <c r="A11" s="237" t="s">
        <v>177</v>
      </c>
      <c r="B11" s="238">
        <v>100000</v>
      </c>
      <c r="C11" s="239">
        <f>B11*12</f>
        <v>1200000</v>
      </c>
      <c r="D11" s="239">
        <f t="shared" ref="D11:E11" si="3">C11*1.02</f>
        <v>1224000</v>
      </c>
      <c r="E11" s="239">
        <f t="shared" si="3"/>
        <v>1248480</v>
      </c>
      <c r="F11" s="239"/>
      <c r="G11" s="239"/>
      <c r="H11" s="239"/>
      <c r="I11" s="239"/>
      <c r="J11" s="239"/>
      <c r="K11" s="239"/>
      <c r="L11" s="239"/>
    </row>
    <row r="12" spans="1:12">
      <c r="A12" s="237" t="s">
        <v>89</v>
      </c>
      <c r="B12" s="238">
        <v>50000</v>
      </c>
      <c r="C12" s="239">
        <f t="shared" si="0"/>
        <v>600000</v>
      </c>
      <c r="D12" s="239">
        <f t="shared" si="2"/>
        <v>612000</v>
      </c>
      <c r="E12" s="239">
        <f t="shared" si="2"/>
        <v>624240</v>
      </c>
      <c r="F12" s="239"/>
      <c r="G12" s="239"/>
      <c r="H12" s="239"/>
      <c r="I12" s="239"/>
      <c r="J12" s="239"/>
      <c r="K12" s="239"/>
      <c r="L12" s="239"/>
    </row>
    <row r="13" spans="1:12" ht="34">
      <c r="A13" s="240" t="s">
        <v>90</v>
      </c>
      <c r="B13" s="238">
        <v>50000</v>
      </c>
      <c r="C13" s="239">
        <f t="shared" si="0"/>
        <v>600000</v>
      </c>
      <c r="D13" s="239">
        <f t="shared" si="2"/>
        <v>612000</v>
      </c>
      <c r="E13" s="239">
        <f t="shared" si="2"/>
        <v>624240</v>
      </c>
      <c r="F13" s="239"/>
      <c r="G13" s="239"/>
      <c r="H13" s="239"/>
      <c r="I13" s="239"/>
      <c r="J13" s="239"/>
      <c r="K13" s="239"/>
      <c r="L13" s="239"/>
    </row>
    <row r="14" spans="1:12" ht="34">
      <c r="A14" s="240" t="s">
        <v>150</v>
      </c>
      <c r="B14" s="238">
        <v>1000000</v>
      </c>
      <c r="C14" s="239">
        <f t="shared" si="0"/>
        <v>12000000</v>
      </c>
      <c r="D14" s="239">
        <f t="shared" si="2"/>
        <v>12240000</v>
      </c>
      <c r="E14" s="239">
        <f t="shared" si="2"/>
        <v>12484800</v>
      </c>
      <c r="F14" s="239"/>
      <c r="G14" s="239"/>
      <c r="H14" s="239"/>
      <c r="I14" s="239"/>
      <c r="J14" s="239"/>
      <c r="K14" s="239"/>
      <c r="L14" s="239"/>
    </row>
    <row r="15" spans="1:12" ht="47.25" customHeight="1">
      <c r="A15" s="240" t="s">
        <v>222</v>
      </c>
      <c r="B15" s="238">
        <v>100000</v>
      </c>
      <c r="C15" s="239">
        <f t="shared" si="0"/>
        <v>1200000</v>
      </c>
      <c r="D15" s="239">
        <f t="shared" si="2"/>
        <v>1224000</v>
      </c>
      <c r="E15" s="239">
        <f t="shared" si="2"/>
        <v>1248480</v>
      </c>
      <c r="F15" s="239"/>
      <c r="G15" s="239"/>
      <c r="H15" s="239"/>
      <c r="I15" s="239"/>
      <c r="J15" s="239"/>
      <c r="K15" s="239"/>
      <c r="L15" s="239"/>
    </row>
    <row r="16" spans="1:12">
      <c r="A16" s="237" t="s">
        <v>88</v>
      </c>
      <c r="B16" s="238">
        <v>20000</v>
      </c>
      <c r="C16" s="239">
        <f t="shared" si="0"/>
        <v>240000</v>
      </c>
      <c r="D16" s="239">
        <f t="shared" si="2"/>
        <v>244800</v>
      </c>
      <c r="E16" s="239">
        <f t="shared" si="2"/>
        <v>249696</v>
      </c>
      <c r="F16" s="239"/>
      <c r="G16" s="239"/>
      <c r="H16" s="239"/>
      <c r="I16" s="239"/>
      <c r="J16" s="239"/>
      <c r="K16" s="239"/>
      <c r="L16" s="239"/>
    </row>
    <row r="17" spans="1:12" s="227" customFormat="1">
      <c r="A17" s="20" t="s">
        <v>0</v>
      </c>
      <c r="B17" s="241">
        <f t="shared" ref="B17:E17" si="4">SUM(B8:B16)</f>
        <v>10130000</v>
      </c>
      <c r="C17" s="241">
        <f t="shared" si="4"/>
        <v>121560000</v>
      </c>
      <c r="D17" s="241">
        <f t="shared" si="4"/>
        <v>123991200</v>
      </c>
      <c r="E17" s="241">
        <f t="shared" si="4"/>
        <v>126471024</v>
      </c>
      <c r="F17" s="241"/>
      <c r="G17" s="241"/>
      <c r="H17" s="241"/>
      <c r="I17" s="241"/>
      <c r="J17" s="241"/>
      <c r="K17" s="241"/>
      <c r="L17" s="241"/>
    </row>
    <row r="19" spans="1:12">
      <c r="B19" s="227"/>
      <c r="C19" s="227"/>
      <c r="D19" s="227"/>
      <c r="E19" s="227"/>
      <c r="F19" s="227"/>
      <c r="G19" s="227"/>
      <c r="H19" s="227"/>
    </row>
    <row r="20" spans="1:12">
      <c r="B20" s="227"/>
      <c r="C20" s="227"/>
      <c r="D20" s="227"/>
      <c r="E20" s="227"/>
      <c r="F20" s="227"/>
      <c r="G20" s="227"/>
      <c r="H20" s="227"/>
    </row>
    <row r="21" spans="1:12">
      <c r="B21" s="227"/>
      <c r="C21" s="227"/>
      <c r="D21" s="227"/>
      <c r="E21" s="227"/>
      <c r="F21" s="227"/>
      <c r="G21" s="227"/>
      <c r="H21" s="227"/>
    </row>
    <row r="22" spans="1:12">
      <c r="B22" s="227"/>
      <c r="C22" s="227"/>
      <c r="D22" s="227"/>
      <c r="E22" s="227"/>
      <c r="F22" s="227"/>
      <c r="G22" s="227"/>
      <c r="H22" s="227"/>
    </row>
  </sheetData>
  <phoneticPr fontId="2" type="noConversion"/>
  <pageMargins left="0.75" right="0.75" top="1" bottom="1" header="0.5" footer="0.5"/>
  <pageSetup paperSize="9" scale="89" fitToHeight="0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R37"/>
  <sheetViews>
    <sheetView tabSelected="1" zoomScaleNormal="10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A35" sqref="A35"/>
    </sheetView>
  </sheetViews>
  <sheetFormatPr baseColWidth="10" defaultColWidth="9.1640625" defaultRowHeight="13"/>
  <cols>
    <col min="1" max="1" width="40.5" style="118" customWidth="1"/>
    <col min="2" max="2" width="13.83203125" style="118" customWidth="1"/>
    <col min="3" max="3" width="12.6640625" style="118" customWidth="1"/>
    <col min="4" max="4" width="12.83203125" style="118" customWidth="1"/>
    <col min="5" max="7" width="12.6640625" style="118" customWidth="1"/>
    <col min="8" max="9" width="13.33203125" style="118" customWidth="1"/>
    <col min="10" max="10" width="13.1640625" style="118" customWidth="1"/>
    <col min="11" max="12" width="13.33203125" style="118" customWidth="1"/>
    <col min="13" max="13" width="13.83203125" style="118" customWidth="1"/>
    <col min="14" max="14" width="14.83203125" style="118" bestFit="1" customWidth="1"/>
    <col min="15" max="16" width="14.83203125" style="119" bestFit="1" customWidth="1"/>
    <col min="17" max="17" width="17.1640625" style="119" bestFit="1" customWidth="1"/>
    <col min="18" max="18" width="16.1640625" style="119" bestFit="1" customWidth="1"/>
    <col min="19" max="23" width="16.1640625" style="119" customWidth="1"/>
    <col min="24" max="24" width="16.33203125" style="118" bestFit="1" customWidth="1"/>
    <col min="25" max="16384" width="9.1640625" style="118"/>
  </cols>
  <sheetData>
    <row r="1" spans="1:96" ht="16">
      <c r="A1" s="117"/>
    </row>
    <row r="2" spans="1:96" ht="16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0"/>
      <c r="O2" s="121"/>
      <c r="P2" s="121"/>
    </row>
    <row r="3" spans="1:96" ht="21" customHeight="1" thickBot="1">
      <c r="A3" s="158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1"/>
      <c r="P3" s="121"/>
    </row>
    <row r="4" spans="1:96" ht="40.5" customHeight="1" thickBo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123"/>
      <c r="P4" s="123"/>
      <c r="Q4" s="124"/>
      <c r="R4" s="125"/>
      <c r="S4" s="126"/>
      <c r="T4" s="125"/>
      <c r="U4" s="126"/>
      <c r="V4" s="126"/>
      <c r="W4" s="125"/>
      <c r="X4" s="127"/>
    </row>
    <row r="5" spans="1:96" ht="16.5" customHeight="1" thickBot="1">
      <c r="A5" s="128"/>
      <c r="B5" s="267" t="s">
        <v>91</v>
      </c>
      <c r="C5" s="267"/>
      <c r="D5" s="267"/>
      <c r="E5" s="267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>
        <v>1.02</v>
      </c>
      <c r="Q5" s="129"/>
      <c r="R5" s="129"/>
      <c r="S5" s="131"/>
      <c r="T5" s="131"/>
      <c r="U5" s="131"/>
      <c r="V5" s="131"/>
      <c r="W5" s="131"/>
      <c r="X5" s="132"/>
    </row>
    <row r="6" spans="1:96" ht="35" thickBot="1">
      <c r="A6" s="133"/>
      <c r="B6" s="63" t="s">
        <v>200</v>
      </c>
      <c r="C6" s="63" t="s">
        <v>201</v>
      </c>
      <c r="D6" s="63" t="s">
        <v>202</v>
      </c>
      <c r="E6" s="63" t="s">
        <v>203</v>
      </c>
      <c r="F6" s="63" t="s">
        <v>204</v>
      </c>
      <c r="G6" s="63" t="s">
        <v>205</v>
      </c>
      <c r="H6" s="63" t="s">
        <v>206</v>
      </c>
      <c r="I6" s="63" t="s">
        <v>207</v>
      </c>
      <c r="J6" s="63" t="s">
        <v>208</v>
      </c>
      <c r="K6" s="63" t="s">
        <v>209</v>
      </c>
      <c r="L6" s="63" t="s">
        <v>210</v>
      </c>
      <c r="M6" s="63" t="s">
        <v>211</v>
      </c>
      <c r="N6" s="133" t="s">
        <v>64</v>
      </c>
      <c r="O6" s="133" t="s">
        <v>65</v>
      </c>
      <c r="P6" s="133" t="s">
        <v>66</v>
      </c>
      <c r="Q6" s="133"/>
      <c r="R6" s="133"/>
      <c r="S6" s="133"/>
      <c r="T6" s="133"/>
      <c r="U6" s="133"/>
      <c r="V6" s="133"/>
      <c r="W6" s="133"/>
      <c r="X6" s="134" t="s">
        <v>62</v>
      </c>
    </row>
    <row r="7" spans="1:96" s="138" customFormat="1" ht="33" customHeight="1">
      <c r="A7" s="13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62"/>
      <c r="P7" s="62"/>
      <c r="Q7" s="62"/>
      <c r="R7" s="62"/>
      <c r="S7" s="136"/>
      <c r="T7" s="136"/>
      <c r="U7" s="136"/>
      <c r="V7" s="136"/>
      <c r="W7" s="136"/>
      <c r="X7" s="137"/>
    </row>
    <row r="8" spans="1:96" s="139" customFormat="1" ht="16">
      <c r="A8" s="133" t="s">
        <v>96</v>
      </c>
      <c r="B8" s="62">
        <f>'3.Выручка'!B19</f>
        <v>8850000</v>
      </c>
      <c r="C8" s="62">
        <f>'3.Выручка'!C19</f>
        <v>9350000</v>
      </c>
      <c r="D8" s="62">
        <f>'3.Выручка'!D19</f>
        <v>10250000</v>
      </c>
      <c r="E8" s="62">
        <f>'3.Выручка'!E19</f>
        <v>11050000</v>
      </c>
      <c r="F8" s="62">
        <f>'3.Выручка'!F19</f>
        <v>11750000</v>
      </c>
      <c r="G8" s="62">
        <f>'3.Выручка'!G19</f>
        <v>12000000</v>
      </c>
      <c r="H8" s="62">
        <f>'3.Выручка'!H19</f>
        <v>12300000</v>
      </c>
      <c r="I8" s="62">
        <f>'3.Выручка'!I19</f>
        <v>12300000</v>
      </c>
      <c r="J8" s="62">
        <f>'3.Выручка'!J19</f>
        <v>12450000</v>
      </c>
      <c r="K8" s="62">
        <f>'3.Выручка'!K19</f>
        <v>12600000</v>
      </c>
      <c r="L8" s="62">
        <f>'3.Выручка'!L19</f>
        <v>12800000</v>
      </c>
      <c r="M8" s="62">
        <f>'3.Выручка'!M19</f>
        <v>13500000</v>
      </c>
      <c r="N8" s="63">
        <f>SUM(B8:M8)</f>
        <v>139200000</v>
      </c>
      <c r="O8" s="62">
        <f>'3.Выручка'!N35</f>
        <v>242990000</v>
      </c>
      <c r="P8" s="62">
        <f>O8+O8*7%</f>
        <v>259999300</v>
      </c>
      <c r="Q8" s="62"/>
      <c r="R8" s="62"/>
      <c r="S8" s="62"/>
      <c r="T8" s="62"/>
      <c r="U8" s="62"/>
      <c r="V8" s="62"/>
      <c r="W8" s="62"/>
      <c r="X8" s="137">
        <f>SUM(N8:W8)</f>
        <v>642189300</v>
      </c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</row>
    <row r="9" spans="1:96" s="140" customFormat="1" ht="16">
      <c r="A9" s="135" t="s">
        <v>102</v>
      </c>
      <c r="B9" s="62">
        <v>442500</v>
      </c>
      <c r="C9" s="62">
        <v>467500</v>
      </c>
      <c r="D9" s="62">
        <v>512500</v>
      </c>
      <c r="E9" s="62">
        <v>552500</v>
      </c>
      <c r="F9" s="62">
        <v>587500</v>
      </c>
      <c r="G9" s="62">
        <v>600000</v>
      </c>
      <c r="H9" s="62">
        <v>615000</v>
      </c>
      <c r="I9" s="62">
        <v>615000</v>
      </c>
      <c r="J9" s="62">
        <v>622500</v>
      </c>
      <c r="K9" s="62">
        <v>630000</v>
      </c>
      <c r="L9" s="62">
        <v>640000</v>
      </c>
      <c r="M9" s="62">
        <v>675000</v>
      </c>
      <c r="N9" s="63">
        <f>B9-M9/1.12+SUM(B9:M9)</f>
        <v>6799821.4285714291</v>
      </c>
      <c r="O9" s="62">
        <v>13599642</v>
      </c>
      <c r="P9" s="62">
        <v>20399436</v>
      </c>
      <c r="Q9" s="62"/>
      <c r="R9" s="62"/>
      <c r="S9" s="62"/>
      <c r="T9" s="62"/>
      <c r="U9" s="62"/>
      <c r="V9" s="62"/>
      <c r="W9" s="62"/>
      <c r="X9" s="137">
        <f t="shared" ref="X9:X32" si="0">SUM(N9:W9)</f>
        <v>40798899.428571433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</row>
    <row r="10" spans="1:96" s="141" customFormat="1" ht="16">
      <c r="A10" s="135" t="s">
        <v>135</v>
      </c>
      <c r="B10" s="62">
        <v>442500</v>
      </c>
      <c r="C10" s="62">
        <v>467500</v>
      </c>
      <c r="D10" s="62">
        <v>512500</v>
      </c>
      <c r="E10" s="62">
        <v>552500</v>
      </c>
      <c r="F10" s="62">
        <v>587500</v>
      </c>
      <c r="G10" s="62">
        <v>600000</v>
      </c>
      <c r="H10" s="62">
        <v>615000</v>
      </c>
      <c r="I10" s="62">
        <v>615000</v>
      </c>
      <c r="J10" s="62">
        <v>622500</v>
      </c>
      <c r="K10" s="62">
        <v>630000</v>
      </c>
      <c r="L10" s="62">
        <v>640000</v>
      </c>
      <c r="M10" s="62">
        <v>675000</v>
      </c>
      <c r="N10" s="63">
        <f>SUM(B10:M10)</f>
        <v>6960000</v>
      </c>
      <c r="O10" s="62">
        <f>'3.Выручка'!N39</f>
        <v>29158800</v>
      </c>
      <c r="P10" s="62">
        <f>O10</f>
        <v>29158800</v>
      </c>
      <c r="Q10" s="62"/>
      <c r="R10" s="62"/>
      <c r="S10" s="62"/>
      <c r="T10" s="62"/>
      <c r="U10" s="62"/>
      <c r="V10" s="62"/>
      <c r="W10" s="62"/>
      <c r="X10" s="137">
        <f>SUM(N10:W10)</f>
        <v>65277600</v>
      </c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</row>
    <row r="11" spans="1:96" s="140" customFormat="1" ht="16">
      <c r="A11" s="135" t="s">
        <v>97</v>
      </c>
      <c r="B11" s="62">
        <f>B9-B10</f>
        <v>0</v>
      </c>
      <c r="C11" s="62">
        <f t="shared" ref="C11:M11" si="1">C9-C10</f>
        <v>0</v>
      </c>
      <c r="D11" s="62">
        <f t="shared" si="1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3">
        <f>SUM(B11:M11)</f>
        <v>0</v>
      </c>
      <c r="O11" s="62"/>
      <c r="P11" s="62"/>
      <c r="Q11" s="62"/>
      <c r="R11" s="62"/>
      <c r="S11" s="62"/>
      <c r="T11" s="62"/>
      <c r="U11" s="62"/>
      <c r="V11" s="62"/>
      <c r="W11" s="62"/>
      <c r="X11" s="137">
        <f>SUM(N11:W11)</f>
        <v>0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</row>
    <row r="12" spans="1:96" s="140" customFormat="1" ht="16" hidden="1">
      <c r="A12" s="135" t="s">
        <v>171</v>
      </c>
      <c r="B12" s="62">
        <f>'1.График (гориз)'!E8*'1.График (гориз)'!H6/12</f>
        <v>0</v>
      </c>
      <c r="C12" s="62">
        <f>B12</f>
        <v>0</v>
      </c>
      <c r="D12" s="62">
        <f t="shared" ref="D12:M12" si="2">C12</f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3">
        <f>SUM(B12:M12)</f>
        <v>0</v>
      </c>
      <c r="O12" s="62">
        <f>'1.График (гориз)'!E8*'1.График (гориз)'!H6</f>
        <v>0</v>
      </c>
      <c r="P12" s="62">
        <f>O12</f>
        <v>0</v>
      </c>
      <c r="Q12" s="62"/>
      <c r="R12" s="62"/>
      <c r="S12" s="62"/>
      <c r="T12" s="62"/>
      <c r="U12" s="62"/>
      <c r="V12" s="62"/>
      <c r="W12" s="62"/>
      <c r="X12" s="13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</row>
    <row r="13" spans="1:96" s="140" customFormat="1" ht="16">
      <c r="A13" s="142" t="s">
        <v>277</v>
      </c>
      <c r="B13" s="143">
        <f>B8-B9+B12</f>
        <v>8407500</v>
      </c>
      <c r="C13" s="143">
        <f>C8-C9+C12</f>
        <v>8882500</v>
      </c>
      <c r="D13" s="143">
        <f>D8-D9+D12</f>
        <v>9737500</v>
      </c>
      <c r="E13" s="143">
        <f>E8-E9+E12</f>
        <v>10497500</v>
      </c>
      <c r="F13" s="143">
        <f>F8-F9+F12</f>
        <v>11162500</v>
      </c>
      <c r="G13" s="143">
        <f>G8-G9+G12</f>
        <v>11400000</v>
      </c>
      <c r="H13" s="143">
        <f>H8-H9+H12</f>
        <v>11685000</v>
      </c>
      <c r="I13" s="143">
        <f>I8-I9+I12</f>
        <v>11685000</v>
      </c>
      <c r="J13" s="143">
        <f>J8-J9+J12</f>
        <v>11827500</v>
      </c>
      <c r="K13" s="143">
        <f>K8-K9+K12</f>
        <v>11970000</v>
      </c>
      <c r="L13" s="143">
        <f>L8-L9+L12</f>
        <v>12160000</v>
      </c>
      <c r="M13" s="143">
        <f>M8-M9+M12</f>
        <v>12825000</v>
      </c>
      <c r="N13" s="60">
        <f>N8-N9+N12</f>
        <v>132400178.57142857</v>
      </c>
      <c r="O13" s="143">
        <f>O8-O9+O12</f>
        <v>229390358</v>
      </c>
      <c r="P13" s="143">
        <f>P8-P9+P12</f>
        <v>239599864</v>
      </c>
      <c r="Q13" s="143"/>
      <c r="R13" s="143"/>
      <c r="S13" s="143"/>
      <c r="T13" s="143"/>
      <c r="U13" s="143"/>
      <c r="V13" s="143"/>
      <c r="W13" s="143"/>
      <c r="X13" s="203">
        <f t="shared" si="0"/>
        <v>601390400.57142854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</row>
    <row r="14" spans="1:96" s="147" customFormat="1" ht="16" hidden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42"/>
      <c r="O14" s="145"/>
      <c r="P14" s="145"/>
      <c r="Q14" s="145"/>
      <c r="R14" s="145"/>
      <c r="S14" s="146"/>
      <c r="T14" s="146"/>
      <c r="U14" s="146"/>
      <c r="V14" s="146"/>
      <c r="W14" s="146"/>
      <c r="X14" s="203">
        <f t="shared" si="0"/>
        <v>0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</row>
    <row r="15" spans="1:96" s="140" customFormat="1" ht="16">
      <c r="A15" s="135" t="s">
        <v>98</v>
      </c>
      <c r="B15" s="62">
        <f>'4.Себестоимость'!B10</f>
        <v>0</v>
      </c>
      <c r="C15" s="62">
        <f>'4.Себестоимость'!C10</f>
        <v>0</v>
      </c>
      <c r="D15" s="62">
        <f>'4.Себестоимость'!D10</f>
        <v>0</v>
      </c>
      <c r="E15" s="62">
        <f>'4.Себестоимость'!E10</f>
        <v>0</v>
      </c>
      <c r="F15" s="62">
        <f>'4.Себестоимость'!F10</f>
        <v>0</v>
      </c>
      <c r="G15" s="62">
        <f>'4.Себестоимость'!G10</f>
        <v>0</v>
      </c>
      <c r="H15" s="62">
        <f>'4.Себестоимость'!H10</f>
        <v>0</v>
      </c>
      <c r="I15" s="62">
        <f>'4.Себестоимость'!I10</f>
        <v>0</v>
      </c>
      <c r="J15" s="62">
        <f>'4.Себестоимость'!J10</f>
        <v>0</v>
      </c>
      <c r="K15" s="62">
        <f>'4.Себестоимость'!K10</f>
        <v>0</v>
      </c>
      <c r="L15" s="62">
        <f>'4.Себестоимость'!L10</f>
        <v>0</v>
      </c>
      <c r="M15" s="62">
        <f>'4.Себестоимость'!M10</f>
        <v>0</v>
      </c>
      <c r="N15" s="63">
        <f>SUM(B15:M15)</f>
        <v>0</v>
      </c>
      <c r="O15" s="62">
        <f>'4.Себестоимость'!N17</f>
        <v>0</v>
      </c>
      <c r="P15" s="62">
        <f>O15+O15*7%</f>
        <v>0</v>
      </c>
      <c r="Q15" s="62"/>
      <c r="R15" s="62"/>
      <c r="S15" s="62"/>
      <c r="T15" s="62"/>
      <c r="U15" s="62"/>
      <c r="V15" s="62"/>
      <c r="W15" s="62"/>
      <c r="X15" s="203">
        <f t="shared" si="0"/>
        <v>0</v>
      </c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</row>
    <row r="16" spans="1:96" s="140" customFormat="1" ht="16">
      <c r="A16" s="148" t="s">
        <v>92</v>
      </c>
      <c r="B16" s="64">
        <f>B8-B15</f>
        <v>8850000</v>
      </c>
      <c r="C16" s="64">
        <f>C8-C15</f>
        <v>9350000</v>
      </c>
      <c r="D16" s="64">
        <f>D8-D15</f>
        <v>10250000</v>
      </c>
      <c r="E16" s="64">
        <f>E8-E15</f>
        <v>11050000</v>
      </c>
      <c r="F16" s="64">
        <f>F8-F15</f>
        <v>11750000</v>
      </c>
      <c r="G16" s="64">
        <f>G8-G15</f>
        <v>12000000</v>
      </c>
      <c r="H16" s="64">
        <f>H8-H15</f>
        <v>12300000</v>
      </c>
      <c r="I16" s="64">
        <f>I8-I15</f>
        <v>12300000</v>
      </c>
      <c r="J16" s="64">
        <f>J8-J15</f>
        <v>12450000</v>
      </c>
      <c r="K16" s="64">
        <f>K8-K15</f>
        <v>12600000</v>
      </c>
      <c r="L16" s="64">
        <f>L8-L15</f>
        <v>12800000</v>
      </c>
      <c r="M16" s="64">
        <f>M8-M15</f>
        <v>13500000</v>
      </c>
      <c r="N16" s="64">
        <f>SUM(B16:M16)</f>
        <v>139200000</v>
      </c>
      <c r="O16" s="64">
        <f>O8-O15</f>
        <v>242990000</v>
      </c>
      <c r="P16" s="64">
        <f>P8-P15</f>
        <v>259999300</v>
      </c>
      <c r="Q16" s="64"/>
      <c r="R16" s="64"/>
      <c r="S16" s="64"/>
      <c r="T16" s="64"/>
      <c r="U16" s="64"/>
      <c r="V16" s="64"/>
      <c r="W16" s="64"/>
      <c r="X16" s="203">
        <f t="shared" si="0"/>
        <v>642189300</v>
      </c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</row>
    <row r="17" spans="1:96" s="140" customFormat="1" ht="16">
      <c r="A17" s="149" t="s">
        <v>93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60"/>
      <c r="O17" s="143"/>
      <c r="P17" s="143"/>
      <c r="Q17" s="143"/>
      <c r="R17" s="143"/>
      <c r="S17" s="143"/>
      <c r="T17" s="143"/>
      <c r="U17" s="143"/>
      <c r="V17" s="143"/>
      <c r="W17" s="143"/>
      <c r="X17" s="203">
        <f t="shared" si="0"/>
        <v>0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</row>
    <row r="18" spans="1:96" s="140" customFormat="1" ht="16">
      <c r="A18" s="135" t="s">
        <v>213</v>
      </c>
      <c r="B18" s="62">
        <v>5000000</v>
      </c>
      <c r="C18" s="62">
        <v>6000000</v>
      </c>
      <c r="D18" s="62">
        <f t="shared" ref="D18:M18" si="3">C18</f>
        <v>6000000</v>
      </c>
      <c r="E18" s="62">
        <f t="shared" si="3"/>
        <v>6000000</v>
      </c>
      <c r="F18" s="62">
        <f t="shared" si="3"/>
        <v>6000000</v>
      </c>
      <c r="G18" s="62">
        <f t="shared" si="3"/>
        <v>6000000</v>
      </c>
      <c r="H18" s="62">
        <f t="shared" si="3"/>
        <v>6000000</v>
      </c>
      <c r="I18" s="62">
        <f t="shared" si="3"/>
        <v>6000000</v>
      </c>
      <c r="J18" s="62">
        <f t="shared" si="3"/>
        <v>6000000</v>
      </c>
      <c r="K18" s="62">
        <f t="shared" si="3"/>
        <v>6000000</v>
      </c>
      <c r="L18" s="62">
        <f t="shared" si="3"/>
        <v>6000000</v>
      </c>
      <c r="M18" s="62">
        <f t="shared" si="3"/>
        <v>6000000</v>
      </c>
      <c r="N18" s="63">
        <f t="shared" ref="N18:N25" si="4">SUM(B18:M18)</f>
        <v>71000000</v>
      </c>
      <c r="O18" s="62">
        <f>'5.Затраты'!D8</f>
        <v>87026400</v>
      </c>
      <c r="P18" s="62">
        <f>'5.Затраты'!E8</f>
        <v>88766928</v>
      </c>
      <c r="Q18" s="62"/>
      <c r="R18" s="62"/>
      <c r="S18" s="62"/>
      <c r="T18" s="62"/>
      <c r="U18" s="62"/>
      <c r="V18" s="62"/>
      <c r="W18" s="62"/>
      <c r="X18" s="203">
        <f t="shared" si="0"/>
        <v>246793328</v>
      </c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</row>
    <row r="19" spans="1:96" s="140" customFormat="1" ht="16">
      <c r="A19" s="145" t="s">
        <v>103</v>
      </c>
      <c r="B19" s="62">
        <f>(B18*0.19)*0.2+B18*0.19*0.015</f>
        <v>204250</v>
      </c>
      <c r="C19" s="62">
        <f>(C18*0.19)*0.2+C18*0.19*0.015</f>
        <v>245100</v>
      </c>
      <c r="D19" s="62">
        <f>(D18*0.19)*0.2+D18*0.19*0.015</f>
        <v>245100</v>
      </c>
      <c r="E19" s="62">
        <f>(E18*0.19)*0.2+E18*0.19*0.015</f>
        <v>245100</v>
      </c>
      <c r="F19" s="62">
        <f>(F18*0.19)*0.2+F18*0.19*0.015</f>
        <v>245100</v>
      </c>
      <c r="G19" s="62">
        <f>(G18*0.19)*0.2+G18*0.19*0.015</f>
        <v>245100</v>
      </c>
      <c r="H19" s="62">
        <f>(H18*0.19)*0.2+H18*0.19*0.015</f>
        <v>245100</v>
      </c>
      <c r="I19" s="62">
        <f>(I18*0.19)*0.2+I18*0.19*0.015</f>
        <v>245100</v>
      </c>
      <c r="J19" s="62">
        <f>(J18*0.19)*0.2+J18*0.19*0.015</f>
        <v>245100</v>
      </c>
      <c r="K19" s="62">
        <f>(K18*0.19)*0.2+K18*0.19*0.015</f>
        <v>245100</v>
      </c>
      <c r="L19" s="62">
        <f>(L18*0.19)*0.2+L18*0.19*0.015</f>
        <v>245100</v>
      </c>
      <c r="M19" s="62">
        <f>(M18*0.19)*0.2+M18*0.19*0.015</f>
        <v>245100</v>
      </c>
      <c r="N19" s="63">
        <f t="shared" si="4"/>
        <v>2900350</v>
      </c>
      <c r="O19" s="62">
        <f>'5.Затраты'!D9</f>
        <v>2448000</v>
      </c>
      <c r="P19" s="62">
        <f>'5.Затраты'!E9</f>
        <v>2496960</v>
      </c>
      <c r="Q19" s="62"/>
      <c r="R19" s="62"/>
      <c r="S19" s="62"/>
      <c r="T19" s="62"/>
      <c r="U19" s="62"/>
      <c r="V19" s="62"/>
      <c r="W19" s="62"/>
      <c r="X19" s="203">
        <f t="shared" si="0"/>
        <v>7845310</v>
      </c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</row>
    <row r="20" spans="1:96" s="140" customFormat="1" ht="16">
      <c r="A20" s="145" t="s">
        <v>214</v>
      </c>
      <c r="B20" s="62">
        <f>'5.Затраты'!B10</f>
        <v>1500000</v>
      </c>
      <c r="C20" s="62">
        <v>1500000</v>
      </c>
      <c r="D20" s="62">
        <v>1500000</v>
      </c>
      <c r="E20" s="62">
        <v>1500000</v>
      </c>
      <c r="F20" s="62">
        <v>1500000</v>
      </c>
      <c r="G20" s="62">
        <v>1500000</v>
      </c>
      <c r="H20" s="62">
        <v>1500000</v>
      </c>
      <c r="I20" s="62">
        <v>1500000</v>
      </c>
      <c r="J20" s="62">
        <v>1500000</v>
      </c>
      <c r="K20" s="62">
        <v>1500000</v>
      </c>
      <c r="L20" s="62">
        <v>1500000</v>
      </c>
      <c r="M20" s="62">
        <v>1500000</v>
      </c>
      <c r="N20" s="63">
        <f t="shared" si="4"/>
        <v>18000000</v>
      </c>
      <c r="O20" s="62">
        <v>19000000</v>
      </c>
      <c r="P20" s="62">
        <v>20000000</v>
      </c>
      <c r="Q20" s="62"/>
      <c r="R20" s="62"/>
      <c r="S20" s="62"/>
      <c r="T20" s="62"/>
      <c r="U20" s="62"/>
      <c r="V20" s="62"/>
      <c r="W20" s="62"/>
      <c r="X20" s="203">
        <f t="shared" si="0"/>
        <v>57000000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</row>
    <row r="21" spans="1:96" s="140" customFormat="1" ht="16">
      <c r="A21" s="145" t="s">
        <v>177</v>
      </c>
      <c r="B21" s="62">
        <f>'5.Затраты'!B11</f>
        <v>100000</v>
      </c>
      <c r="C21" s="62">
        <f>B21</f>
        <v>100000</v>
      </c>
      <c r="D21" s="62">
        <f t="shared" ref="D21:M21" si="5">C21</f>
        <v>100000</v>
      </c>
      <c r="E21" s="62">
        <f t="shared" si="5"/>
        <v>100000</v>
      </c>
      <c r="F21" s="62">
        <f t="shared" si="5"/>
        <v>100000</v>
      </c>
      <c r="G21" s="62">
        <f t="shared" si="5"/>
        <v>100000</v>
      </c>
      <c r="H21" s="62">
        <f t="shared" si="5"/>
        <v>100000</v>
      </c>
      <c r="I21" s="62">
        <f t="shared" si="5"/>
        <v>100000</v>
      </c>
      <c r="J21" s="62">
        <f t="shared" si="5"/>
        <v>100000</v>
      </c>
      <c r="K21" s="62">
        <f t="shared" si="5"/>
        <v>100000</v>
      </c>
      <c r="L21" s="62">
        <f t="shared" si="5"/>
        <v>100000</v>
      </c>
      <c r="M21" s="62">
        <f t="shared" si="5"/>
        <v>100000</v>
      </c>
      <c r="N21" s="63">
        <f t="shared" si="4"/>
        <v>1200000</v>
      </c>
      <c r="O21" s="62">
        <f>'5.Затраты'!D11</f>
        <v>1224000</v>
      </c>
      <c r="P21" s="62">
        <f>'5.Затраты'!E11</f>
        <v>1248480</v>
      </c>
      <c r="Q21" s="62"/>
      <c r="R21" s="62"/>
      <c r="S21" s="62"/>
      <c r="T21" s="62"/>
      <c r="U21" s="62"/>
      <c r="V21" s="62"/>
      <c r="W21" s="62"/>
      <c r="X21" s="203">
        <f>SUM(N21:W21)</f>
        <v>3672480</v>
      </c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</row>
    <row r="22" spans="1:96" s="140" customFormat="1" ht="16">
      <c r="A22" s="82" t="s">
        <v>89</v>
      </c>
      <c r="B22" s="62">
        <f>'5.Затраты'!$B$12</f>
        <v>50000</v>
      </c>
      <c r="C22" s="62">
        <f>'5.Затраты'!$B$12</f>
        <v>50000</v>
      </c>
      <c r="D22" s="62">
        <f>'5.Затраты'!$B$12</f>
        <v>50000</v>
      </c>
      <c r="E22" s="62">
        <f>'5.Затраты'!$B$12</f>
        <v>50000</v>
      </c>
      <c r="F22" s="62">
        <f>'5.Затраты'!$B$12</f>
        <v>50000</v>
      </c>
      <c r="G22" s="62">
        <f>'5.Затраты'!$B$12</f>
        <v>50000</v>
      </c>
      <c r="H22" s="62">
        <f>'5.Затраты'!$B$12</f>
        <v>50000</v>
      </c>
      <c r="I22" s="62">
        <f>'5.Затраты'!$B$12</f>
        <v>50000</v>
      </c>
      <c r="J22" s="62">
        <f>'5.Затраты'!$B$12</f>
        <v>50000</v>
      </c>
      <c r="K22" s="62">
        <f>'5.Затраты'!$B$12</f>
        <v>50000</v>
      </c>
      <c r="L22" s="62">
        <f>'5.Затраты'!$B$12</f>
        <v>50000</v>
      </c>
      <c r="M22" s="62">
        <f>'5.Затраты'!$B$12</f>
        <v>50000</v>
      </c>
      <c r="N22" s="63">
        <f t="shared" si="4"/>
        <v>600000</v>
      </c>
      <c r="O22" s="62">
        <f>'5.Затраты'!D12</f>
        <v>612000</v>
      </c>
      <c r="P22" s="62">
        <f>'5.Затраты'!E12</f>
        <v>624240</v>
      </c>
      <c r="Q22" s="62"/>
      <c r="R22" s="62"/>
      <c r="S22" s="62"/>
      <c r="T22" s="62"/>
      <c r="U22" s="62"/>
      <c r="V22" s="62"/>
      <c r="W22" s="62"/>
      <c r="X22" s="203">
        <f t="shared" si="0"/>
        <v>1836240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</row>
    <row r="23" spans="1:96" s="140" customFormat="1" ht="16">
      <c r="A23" s="150" t="s">
        <v>90</v>
      </c>
      <c r="B23" s="62">
        <f>'5.Затраты'!B13</f>
        <v>50000</v>
      </c>
      <c r="C23" s="62">
        <f>B23</f>
        <v>50000</v>
      </c>
      <c r="D23" s="62">
        <f t="shared" ref="D23:M23" si="6">C23</f>
        <v>50000</v>
      </c>
      <c r="E23" s="62">
        <f t="shared" si="6"/>
        <v>50000</v>
      </c>
      <c r="F23" s="62">
        <f t="shared" si="6"/>
        <v>50000</v>
      </c>
      <c r="G23" s="62">
        <f t="shared" si="6"/>
        <v>50000</v>
      </c>
      <c r="H23" s="62">
        <f t="shared" si="6"/>
        <v>50000</v>
      </c>
      <c r="I23" s="62">
        <f t="shared" si="6"/>
        <v>50000</v>
      </c>
      <c r="J23" s="62">
        <f t="shared" si="6"/>
        <v>50000</v>
      </c>
      <c r="K23" s="62">
        <f t="shared" si="6"/>
        <v>50000</v>
      </c>
      <c r="L23" s="62">
        <f t="shared" si="6"/>
        <v>50000</v>
      </c>
      <c r="M23" s="62">
        <f t="shared" si="6"/>
        <v>50000</v>
      </c>
      <c r="N23" s="63">
        <f t="shared" si="4"/>
        <v>600000</v>
      </c>
      <c r="O23" s="62">
        <f>'5.Затраты'!D13</f>
        <v>612000</v>
      </c>
      <c r="P23" s="62">
        <f>'5.Затраты'!E13</f>
        <v>624240</v>
      </c>
      <c r="Q23" s="62"/>
      <c r="R23" s="62"/>
      <c r="S23" s="62"/>
      <c r="T23" s="62"/>
      <c r="U23" s="62"/>
      <c r="V23" s="62"/>
      <c r="W23" s="62"/>
      <c r="X23" s="203">
        <f t="shared" si="0"/>
        <v>1836240</v>
      </c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</row>
    <row r="24" spans="1:96" s="140" customFormat="1" ht="16">
      <c r="A24" s="82" t="s">
        <v>87</v>
      </c>
      <c r="B24" s="62">
        <f>'5.Затраты'!$C$15/12</f>
        <v>100000</v>
      </c>
      <c r="C24" s="62">
        <f>'5.Затраты'!$C$15/12</f>
        <v>100000</v>
      </c>
      <c r="D24" s="62">
        <f>'5.Затраты'!$C$15/12</f>
        <v>100000</v>
      </c>
      <c r="E24" s="62">
        <f>'5.Затраты'!$C$15/12</f>
        <v>100000</v>
      </c>
      <c r="F24" s="62">
        <f>'5.Затраты'!$C$15/12</f>
        <v>100000</v>
      </c>
      <c r="G24" s="62">
        <f>'5.Затраты'!$C$15/12</f>
        <v>100000</v>
      </c>
      <c r="H24" s="62">
        <f>'5.Затраты'!$C$15/12</f>
        <v>100000</v>
      </c>
      <c r="I24" s="62">
        <f>'5.Затраты'!$C$15/12</f>
        <v>100000</v>
      </c>
      <c r="J24" s="62">
        <f>'5.Затраты'!$C$15/12</f>
        <v>100000</v>
      </c>
      <c r="K24" s="62">
        <f>'5.Затраты'!$C$15/12</f>
        <v>100000</v>
      </c>
      <c r="L24" s="62">
        <f>'5.Затраты'!$C$15/12</f>
        <v>100000</v>
      </c>
      <c r="M24" s="62">
        <f>'5.Затраты'!$C$15/12</f>
        <v>100000</v>
      </c>
      <c r="N24" s="63">
        <f t="shared" si="4"/>
        <v>1200000</v>
      </c>
      <c r="O24" s="62">
        <f>'5.Затраты'!D15</f>
        <v>1224000</v>
      </c>
      <c r="P24" s="62">
        <f>'5.Затраты'!E15</f>
        <v>1248480</v>
      </c>
      <c r="Q24" s="62"/>
      <c r="R24" s="62"/>
      <c r="S24" s="62"/>
      <c r="T24" s="62"/>
      <c r="U24" s="62"/>
      <c r="V24" s="62"/>
      <c r="W24" s="62"/>
      <c r="X24" s="203">
        <f t="shared" si="0"/>
        <v>3672480</v>
      </c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</row>
    <row r="25" spans="1:96" s="140" customFormat="1" ht="16">
      <c r="A25" s="82" t="s">
        <v>88</v>
      </c>
      <c r="B25" s="62">
        <f>'5.Затраты'!$B$16</f>
        <v>20000</v>
      </c>
      <c r="C25" s="62">
        <f>'5.Затраты'!$B$16</f>
        <v>20000</v>
      </c>
      <c r="D25" s="62">
        <f>'5.Затраты'!$B$16</f>
        <v>20000</v>
      </c>
      <c r="E25" s="62">
        <f>'5.Затраты'!$B$16</f>
        <v>20000</v>
      </c>
      <c r="F25" s="62">
        <f>'5.Затраты'!$B$16</f>
        <v>20000</v>
      </c>
      <c r="G25" s="62">
        <f>'5.Затраты'!$B$16</f>
        <v>20000</v>
      </c>
      <c r="H25" s="62">
        <f>'5.Затраты'!$B$16</f>
        <v>20000</v>
      </c>
      <c r="I25" s="62">
        <f>'5.Затраты'!$B$16</f>
        <v>20000</v>
      </c>
      <c r="J25" s="62">
        <f>'5.Затраты'!$B$16</f>
        <v>20000</v>
      </c>
      <c r="K25" s="62">
        <f>'5.Затраты'!$B$16</f>
        <v>20000</v>
      </c>
      <c r="L25" s="62">
        <f>'5.Затраты'!$B$16</f>
        <v>20000</v>
      </c>
      <c r="M25" s="62">
        <f>'5.Затраты'!$B$16</f>
        <v>20000</v>
      </c>
      <c r="N25" s="63">
        <f t="shared" si="4"/>
        <v>240000</v>
      </c>
      <c r="O25" s="62">
        <f>'5.Затраты'!D16</f>
        <v>244800</v>
      </c>
      <c r="P25" s="62">
        <f>'5.Затраты'!E16</f>
        <v>249696</v>
      </c>
      <c r="Q25" s="62"/>
      <c r="R25" s="62"/>
      <c r="S25" s="62"/>
      <c r="T25" s="62"/>
      <c r="U25" s="62"/>
      <c r="V25" s="62"/>
      <c r="W25" s="62"/>
      <c r="X25" s="203">
        <f t="shared" si="0"/>
        <v>734496</v>
      </c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</row>
    <row r="26" spans="1:96" s="140" customFormat="1" ht="16">
      <c r="A26" s="149" t="s">
        <v>94</v>
      </c>
      <c r="B26" s="143">
        <f>SUM(B18:B25)</f>
        <v>7024250</v>
      </c>
      <c r="C26" s="143">
        <f>SUM(C18:C25)</f>
        <v>8065100</v>
      </c>
      <c r="D26" s="143">
        <f>SUM(D18:D25)</f>
        <v>8065100</v>
      </c>
      <c r="E26" s="143">
        <f>SUM(E18:E25)</f>
        <v>8065100</v>
      </c>
      <c r="F26" s="143">
        <f>SUM(F18:F25)</f>
        <v>8065100</v>
      </c>
      <c r="G26" s="143">
        <f>SUM(G18:G25)</f>
        <v>8065100</v>
      </c>
      <c r="H26" s="143">
        <f>SUM(H18:H25)</f>
        <v>8065100</v>
      </c>
      <c r="I26" s="143">
        <f>SUM(I18:I25)</f>
        <v>8065100</v>
      </c>
      <c r="J26" s="143">
        <f>SUM(J18:J25)</f>
        <v>8065100</v>
      </c>
      <c r="K26" s="143">
        <f>SUM(K18:K25)</f>
        <v>8065100</v>
      </c>
      <c r="L26" s="143">
        <f>SUM(L18:L25)</f>
        <v>8065100</v>
      </c>
      <c r="M26" s="143">
        <f>SUM(M18:M25)</f>
        <v>8065100</v>
      </c>
      <c r="N26" s="60">
        <f>SUM(N18:N25)</f>
        <v>95740350</v>
      </c>
      <c r="O26" s="60">
        <f>SUM(O18:O25)</f>
        <v>112391200</v>
      </c>
      <c r="P26" s="60">
        <f>SUM(P18:P25)</f>
        <v>115259024</v>
      </c>
      <c r="Q26" s="60"/>
      <c r="R26" s="60"/>
      <c r="S26" s="60"/>
      <c r="T26" s="60"/>
      <c r="U26" s="60"/>
      <c r="V26" s="60"/>
      <c r="W26" s="60"/>
      <c r="X26" s="203">
        <f>SUM(N26:W26)</f>
        <v>323390574</v>
      </c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</row>
    <row r="27" spans="1:96" s="151" customFormat="1" ht="16">
      <c r="A27" s="149" t="s">
        <v>218</v>
      </c>
      <c r="B27" s="143">
        <f>B16-B26</f>
        <v>1825750</v>
      </c>
      <c r="C27" s="143">
        <f>C16-C26</f>
        <v>1284900</v>
      </c>
      <c r="D27" s="143">
        <f>D16-D26</f>
        <v>2184900</v>
      </c>
      <c r="E27" s="143">
        <f>E16-E26</f>
        <v>2984900</v>
      </c>
      <c r="F27" s="143">
        <f>F16-F26</f>
        <v>3684900</v>
      </c>
      <c r="G27" s="143">
        <f>G16-G26</f>
        <v>3934900</v>
      </c>
      <c r="H27" s="143">
        <f>H16-H26</f>
        <v>4234900</v>
      </c>
      <c r="I27" s="143">
        <f>I16-I26</f>
        <v>4234900</v>
      </c>
      <c r="J27" s="143">
        <f>J16-J26</f>
        <v>4384900</v>
      </c>
      <c r="K27" s="143">
        <f>K16-K26</f>
        <v>4534900</v>
      </c>
      <c r="L27" s="143">
        <f>L16-L26</f>
        <v>4734900</v>
      </c>
      <c r="M27" s="143">
        <f>M16-M26</f>
        <v>5434900</v>
      </c>
      <c r="N27" s="60">
        <f>N16-N26</f>
        <v>43459650</v>
      </c>
      <c r="O27" s="60">
        <f>O16-O26</f>
        <v>130598800</v>
      </c>
      <c r="P27" s="60">
        <f>P16-P26</f>
        <v>144740276</v>
      </c>
      <c r="Q27" s="60"/>
      <c r="R27" s="60"/>
      <c r="S27" s="60"/>
      <c r="T27" s="60"/>
      <c r="U27" s="60"/>
      <c r="V27" s="60"/>
      <c r="W27" s="60"/>
      <c r="X27" s="203">
        <f t="shared" si="0"/>
        <v>318798726</v>
      </c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</row>
    <row r="28" spans="1:96" ht="16" hidden="1">
      <c r="A28" s="135" t="s">
        <v>95</v>
      </c>
      <c r="B28" s="62">
        <f>'1.График (гориз)'!C16</f>
        <v>0</v>
      </c>
      <c r="C28" s="62">
        <f>'1.График (гориз)'!D16</f>
        <v>0</v>
      </c>
      <c r="D28" s="62">
        <f>'1.График (гориз)'!E16</f>
        <v>0</v>
      </c>
      <c r="E28" s="62">
        <f>'1.График (гориз)'!F16</f>
        <v>0</v>
      </c>
      <c r="F28" s="62">
        <f>'1.График (гориз)'!G16</f>
        <v>0</v>
      </c>
      <c r="G28" s="62">
        <f>'1.График (гориз)'!H16</f>
        <v>0</v>
      </c>
      <c r="H28" s="62">
        <f>'1.График (гориз)'!I16</f>
        <v>0</v>
      </c>
      <c r="I28" s="62">
        <f>'1.График (гориз)'!J16</f>
        <v>0</v>
      </c>
      <c r="J28" s="62">
        <f>'1.График (гориз)'!K16</f>
        <v>0</v>
      </c>
      <c r="K28" s="62">
        <f>'1.График (гориз)'!L16</f>
        <v>0</v>
      </c>
      <c r="L28" s="62">
        <f>'1.График (гориз)'!M16</f>
        <v>0</v>
      </c>
      <c r="M28" s="62">
        <f>'1.График (гориз)'!N16</f>
        <v>0</v>
      </c>
      <c r="N28" s="63">
        <f>SUM(B28:M28)</f>
        <v>0</v>
      </c>
      <c r="O28" s="62">
        <f>'1.График (гориз)'!O23</f>
        <v>0</v>
      </c>
      <c r="P28" s="62">
        <f>'1.График (гориз)'!O30</f>
        <v>0</v>
      </c>
      <c r="Q28" s="62"/>
      <c r="R28" s="62"/>
      <c r="S28" s="136"/>
      <c r="T28" s="136"/>
      <c r="U28" s="136"/>
      <c r="V28" s="136"/>
      <c r="W28" s="136"/>
      <c r="X28" s="203">
        <f t="shared" si="0"/>
        <v>0</v>
      </c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</row>
    <row r="29" spans="1:96" ht="16">
      <c r="A29" s="135" t="s">
        <v>99</v>
      </c>
      <c r="B29" s="62">
        <f>B27-B28</f>
        <v>1825750</v>
      </c>
      <c r="C29" s="62">
        <f t="shared" ref="C29:P29" si="7">C27-C28</f>
        <v>1284900</v>
      </c>
      <c r="D29" s="62">
        <f t="shared" si="7"/>
        <v>2184900</v>
      </c>
      <c r="E29" s="62">
        <f t="shared" si="7"/>
        <v>2984900</v>
      </c>
      <c r="F29" s="62">
        <f t="shared" si="7"/>
        <v>3684900</v>
      </c>
      <c r="G29" s="62">
        <f t="shared" si="7"/>
        <v>3934900</v>
      </c>
      <c r="H29" s="62">
        <f t="shared" si="7"/>
        <v>4234900</v>
      </c>
      <c r="I29" s="62">
        <f t="shared" si="7"/>
        <v>4234900</v>
      </c>
      <c r="J29" s="62">
        <f>J27-J28</f>
        <v>4384900</v>
      </c>
      <c r="K29" s="62">
        <f t="shared" si="7"/>
        <v>4534900</v>
      </c>
      <c r="L29" s="62">
        <f t="shared" si="7"/>
        <v>4734900</v>
      </c>
      <c r="M29" s="62">
        <f>M27-M28</f>
        <v>5434900</v>
      </c>
      <c r="N29" s="63">
        <f>N27-N28</f>
        <v>43459650</v>
      </c>
      <c r="O29" s="62">
        <f>O27-O28</f>
        <v>130598800</v>
      </c>
      <c r="P29" s="62">
        <f t="shared" si="7"/>
        <v>144740276</v>
      </c>
      <c r="Q29" s="62"/>
      <c r="R29" s="62"/>
      <c r="S29" s="62"/>
      <c r="T29" s="62"/>
      <c r="U29" s="62"/>
      <c r="V29" s="62"/>
      <c r="W29" s="62"/>
      <c r="X29" s="203">
        <f t="shared" si="0"/>
        <v>318798726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</row>
    <row r="30" spans="1:96" ht="16">
      <c r="A30" s="135" t="s">
        <v>100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>N29*20%</f>
        <v>8691930</v>
      </c>
      <c r="O30" s="62">
        <f t="shared" ref="O30:P30" si="8">O29*20%</f>
        <v>26119760</v>
      </c>
      <c r="P30" s="62">
        <f t="shared" si="8"/>
        <v>28948055.200000003</v>
      </c>
      <c r="Q30" s="62"/>
      <c r="R30" s="62"/>
      <c r="S30" s="62"/>
      <c r="T30" s="62"/>
      <c r="U30" s="62"/>
      <c r="V30" s="62"/>
      <c r="W30" s="62"/>
      <c r="X30" s="203">
        <f t="shared" si="0"/>
        <v>63759745.200000003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</row>
    <row r="31" spans="1:96" ht="16">
      <c r="A31" s="152" t="s">
        <v>50</v>
      </c>
      <c r="B31" s="153">
        <f t="shared" ref="B31:P31" si="9">B29-B30</f>
        <v>1825750</v>
      </c>
      <c r="C31" s="153">
        <f t="shared" si="9"/>
        <v>1284900</v>
      </c>
      <c r="D31" s="153">
        <f t="shared" si="9"/>
        <v>2184900</v>
      </c>
      <c r="E31" s="153">
        <f t="shared" si="9"/>
        <v>2984900</v>
      </c>
      <c r="F31" s="153">
        <f t="shared" si="9"/>
        <v>3684900</v>
      </c>
      <c r="G31" s="153">
        <f t="shared" si="9"/>
        <v>3934900</v>
      </c>
      <c r="H31" s="153">
        <f t="shared" si="9"/>
        <v>4234900</v>
      </c>
      <c r="I31" s="153">
        <f t="shared" si="9"/>
        <v>4234900</v>
      </c>
      <c r="J31" s="153">
        <f>J29-J30</f>
        <v>4384900</v>
      </c>
      <c r="K31" s="153">
        <f t="shared" si="9"/>
        <v>4534900</v>
      </c>
      <c r="L31" s="153">
        <f t="shared" si="9"/>
        <v>4734900</v>
      </c>
      <c r="M31" s="153">
        <f t="shared" si="9"/>
        <v>5434900</v>
      </c>
      <c r="N31" s="153">
        <f>N29-N30</f>
        <v>34767720</v>
      </c>
      <c r="O31" s="153">
        <f>O29-O30</f>
        <v>104479040</v>
      </c>
      <c r="P31" s="153">
        <f t="shared" si="9"/>
        <v>115792220.8</v>
      </c>
      <c r="Q31" s="153"/>
      <c r="R31" s="153"/>
      <c r="S31" s="153"/>
      <c r="T31" s="153"/>
      <c r="U31" s="153"/>
      <c r="V31" s="153"/>
      <c r="W31" s="153"/>
      <c r="X31" s="203">
        <f>SUM(N31:W31)</f>
        <v>255038980.80000001</v>
      </c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</row>
    <row r="32" spans="1:96" ht="16" hidden="1">
      <c r="A32" s="135" t="s">
        <v>101</v>
      </c>
      <c r="B32" s="62">
        <f>'1.График (гориз)'!C15</f>
        <v>0</v>
      </c>
      <c r="C32" s="62">
        <f>'1.График (гориз)'!D15</f>
        <v>0</v>
      </c>
      <c r="D32" s="62">
        <f>'1.График (гориз)'!E15</f>
        <v>0</v>
      </c>
      <c r="E32" s="62">
        <f>'1.График (гориз)'!F15</f>
        <v>0</v>
      </c>
      <c r="F32" s="62">
        <f>'1.График (гориз)'!G15</f>
        <v>0</v>
      </c>
      <c r="G32" s="62">
        <f>'1.График (гориз)'!H15</f>
        <v>0</v>
      </c>
      <c r="H32" s="62">
        <f>'1.График (гориз)'!I15</f>
        <v>0</v>
      </c>
      <c r="I32" s="62">
        <f>'1.График (гориз)'!J15</f>
        <v>0</v>
      </c>
      <c r="J32" s="62">
        <f>'1.График (гориз)'!K15</f>
        <v>0</v>
      </c>
      <c r="K32" s="62">
        <f>'1.График (гориз)'!L15</f>
        <v>0</v>
      </c>
      <c r="L32" s="62">
        <f>'1.График (гориз)'!M15</f>
        <v>0</v>
      </c>
      <c r="M32" s="62">
        <f>'1.График (гориз)'!N15</f>
        <v>0</v>
      </c>
      <c r="N32" s="63">
        <f>SUM(B32:M32)</f>
        <v>0</v>
      </c>
      <c r="O32" s="62">
        <f>'1.График (гориз)'!O22</f>
        <v>0</v>
      </c>
      <c r="P32" s="62">
        <f>'1.График (гориз)'!O29</f>
        <v>0</v>
      </c>
      <c r="Q32" s="62"/>
      <c r="R32" s="62"/>
      <c r="S32" s="136"/>
      <c r="T32" s="136"/>
      <c r="U32" s="136"/>
      <c r="V32" s="136"/>
      <c r="W32" s="136"/>
      <c r="X32" s="203">
        <f t="shared" si="0"/>
        <v>0</v>
      </c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</row>
    <row r="33" spans="1:96" ht="16">
      <c r="A33" s="154" t="s">
        <v>217</v>
      </c>
      <c r="B33" s="155">
        <f>B31-B32</f>
        <v>1825750</v>
      </c>
      <c r="C33" s="155">
        <f t="shared" ref="C33:P33" si="10">C31-C32</f>
        <v>1284900</v>
      </c>
      <c r="D33" s="155">
        <f t="shared" si="10"/>
        <v>2184900</v>
      </c>
      <c r="E33" s="155">
        <f t="shared" si="10"/>
        <v>2984900</v>
      </c>
      <c r="F33" s="155">
        <f t="shared" si="10"/>
        <v>3684900</v>
      </c>
      <c r="G33" s="155">
        <f t="shared" si="10"/>
        <v>3934900</v>
      </c>
      <c r="H33" s="155">
        <f t="shared" si="10"/>
        <v>4234900</v>
      </c>
      <c r="I33" s="155">
        <f t="shared" si="10"/>
        <v>4234900</v>
      </c>
      <c r="J33" s="155">
        <f t="shared" si="10"/>
        <v>4384900</v>
      </c>
      <c r="K33" s="155">
        <f t="shared" si="10"/>
        <v>4534900</v>
      </c>
      <c r="L33" s="155">
        <f t="shared" si="10"/>
        <v>4734900</v>
      </c>
      <c r="M33" s="155">
        <f>M31-M32</f>
        <v>5434900</v>
      </c>
      <c r="N33" s="155">
        <f>N31-N32</f>
        <v>34767720</v>
      </c>
      <c r="O33" s="155">
        <f>O31-O32</f>
        <v>104479040</v>
      </c>
      <c r="P33" s="155">
        <f t="shared" si="10"/>
        <v>115792220.8</v>
      </c>
      <c r="Q33" s="155"/>
      <c r="R33" s="155"/>
      <c r="S33" s="155"/>
      <c r="T33" s="155"/>
      <c r="U33" s="155"/>
      <c r="V33" s="155"/>
      <c r="W33" s="155"/>
      <c r="X33" s="203">
        <f>SUM(N33:W33)</f>
        <v>255038980.80000001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</row>
    <row r="34" spans="1:96" s="254" customFormat="1" ht="14">
      <c r="A34" s="254" t="s">
        <v>278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>
        <v>3476772</v>
      </c>
      <c r="O34" s="256">
        <v>10447904</v>
      </c>
      <c r="P34" s="256">
        <v>11579222</v>
      </c>
      <c r="Q34" s="256"/>
      <c r="R34" s="256"/>
      <c r="S34" s="257"/>
      <c r="T34" s="257"/>
      <c r="U34" s="257"/>
      <c r="V34" s="257"/>
      <c r="W34" s="257"/>
      <c r="X34" s="258">
        <f>SUM(N34:W34)</f>
        <v>25503898</v>
      </c>
    </row>
    <row r="35" spans="1:96">
      <c r="E35" s="156"/>
    </row>
    <row r="36" spans="1:96">
      <c r="E36" s="156"/>
      <c r="X36" s="157"/>
    </row>
    <row r="37" spans="1:96">
      <c r="E37" s="156"/>
      <c r="X37" s="157"/>
    </row>
  </sheetData>
  <mergeCells count="2">
    <mergeCell ref="A4:N4"/>
    <mergeCell ref="B5:E5"/>
  </mergeCells>
  <phoneticPr fontId="2" type="noConversion"/>
  <pageMargins left="0.55118110236220474" right="0.35433070866141736" top="0.39370078740157483" bottom="0.39370078740157483" header="0.11811023622047245" footer="0.11811023622047245"/>
  <pageSetup paperSize="9" scale="82" fitToWidth="3" fitToHeight="0" orientation="landscape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7"/>
  <sheetViews>
    <sheetView topLeftCell="A2" zoomScale="75" zoomScaleNormal="100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C24" sqref="C24"/>
    </sheetView>
  </sheetViews>
  <sheetFormatPr baseColWidth="10" defaultColWidth="9.1640625" defaultRowHeight="16"/>
  <cols>
    <col min="1" max="1" width="43.33203125" style="4" customWidth="1"/>
    <col min="2" max="2" width="21.83203125" style="4" customWidth="1"/>
    <col min="3" max="5" width="16.83203125" style="4" bestFit="1" customWidth="1"/>
    <col min="6" max="6" width="17.83203125" style="4" customWidth="1"/>
    <col min="7" max="13" width="16.83203125" style="4" bestFit="1" customWidth="1"/>
    <col min="14" max="14" width="17.6640625" style="4" bestFit="1" customWidth="1"/>
    <col min="15" max="15" width="20.1640625" style="4" customWidth="1"/>
    <col min="16" max="16" width="16.83203125" style="4" bestFit="1" customWidth="1"/>
    <col min="17" max="17" width="17.5" style="4" customWidth="1"/>
    <col min="18" max="18" width="17.33203125" style="4" bestFit="1" customWidth="1"/>
    <col min="19" max="23" width="16.83203125" style="4" bestFit="1" customWidth="1"/>
    <col min="24" max="16384" width="9.1640625" style="4"/>
  </cols>
  <sheetData>
    <row r="1" spans="1:23">
      <c r="A1" s="3" t="s">
        <v>123</v>
      </c>
    </row>
    <row r="2" spans="1:23" ht="19.5" customHeight="1"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9"/>
      <c r="O2" s="10"/>
      <c r="P2" s="9"/>
    </row>
    <row r="3" spans="1:23">
      <c r="A3" s="111" t="s">
        <v>155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5"/>
      <c r="O3" s="12"/>
      <c r="P3" s="12"/>
      <c r="Q3" s="12"/>
      <c r="R3" s="12"/>
    </row>
    <row r="4" spans="1:23" ht="15" customHeight="1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"/>
      <c r="N4" s="12"/>
      <c r="O4" s="17"/>
      <c r="P4" s="12"/>
      <c r="Q4" s="12"/>
      <c r="R4" s="12"/>
    </row>
    <row r="5" spans="1:23" ht="16.5" customHeight="1">
      <c r="A5" s="18"/>
      <c r="B5" s="19" t="s">
        <v>91</v>
      </c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 customHeight="1">
      <c r="A6" s="21" t="s">
        <v>73</v>
      </c>
      <c r="B6" s="22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22" t="s">
        <v>23</v>
      </c>
      <c r="M6" s="22" t="s">
        <v>24</v>
      </c>
      <c r="N6" s="21" t="s">
        <v>64</v>
      </c>
      <c r="O6" s="21" t="s">
        <v>65</v>
      </c>
      <c r="P6" s="21" t="s">
        <v>66</v>
      </c>
      <c r="Q6" s="21" t="s">
        <v>67</v>
      </c>
      <c r="R6" s="21" t="s">
        <v>68</v>
      </c>
      <c r="S6" s="21" t="s">
        <v>119</v>
      </c>
      <c r="T6" s="21" t="s">
        <v>121</v>
      </c>
      <c r="U6" s="21" t="s">
        <v>163</v>
      </c>
      <c r="V6" s="21" t="s">
        <v>164</v>
      </c>
      <c r="W6" s="21" t="s">
        <v>165</v>
      </c>
    </row>
    <row r="7" spans="1:23" ht="20.25" customHeight="1">
      <c r="A7" s="30" t="s">
        <v>104</v>
      </c>
      <c r="B7" s="27">
        <v>0</v>
      </c>
      <c r="C7" s="27" t="e">
        <f t="shared" ref="C7:M7" si="0">B7+B24+B29+B36</f>
        <v>#REF!</v>
      </c>
      <c r="D7" s="27" t="e">
        <f t="shared" si="0"/>
        <v>#REF!</v>
      </c>
      <c r="E7" s="27" t="e">
        <f t="shared" si="0"/>
        <v>#REF!</v>
      </c>
      <c r="F7" s="27" t="e">
        <f t="shared" si="0"/>
        <v>#REF!</v>
      </c>
      <c r="G7" s="27" t="e">
        <f t="shared" si="0"/>
        <v>#REF!</v>
      </c>
      <c r="H7" s="27" t="e">
        <f t="shared" si="0"/>
        <v>#REF!</v>
      </c>
      <c r="I7" s="27" t="e">
        <f t="shared" si="0"/>
        <v>#REF!</v>
      </c>
      <c r="J7" s="27" t="e">
        <f t="shared" si="0"/>
        <v>#REF!</v>
      </c>
      <c r="K7" s="27" t="e">
        <f t="shared" si="0"/>
        <v>#REF!</v>
      </c>
      <c r="L7" s="27" t="e">
        <f t="shared" si="0"/>
        <v>#REF!</v>
      </c>
      <c r="M7" s="27" t="e">
        <f t="shared" si="0"/>
        <v>#REF!</v>
      </c>
      <c r="N7" s="27">
        <v>0</v>
      </c>
      <c r="O7" s="27" t="e">
        <f t="shared" ref="O7:W7" si="1">N7+N24+N29+N36</f>
        <v>#REF!</v>
      </c>
      <c r="P7" s="27" t="e">
        <f t="shared" si="1"/>
        <v>#REF!</v>
      </c>
      <c r="Q7" s="27" t="e">
        <f t="shared" si="1"/>
        <v>#REF!</v>
      </c>
      <c r="R7" s="27" t="e">
        <f t="shared" si="1"/>
        <v>#REF!</v>
      </c>
      <c r="S7" s="27" t="e">
        <f t="shared" si="1"/>
        <v>#REF!</v>
      </c>
      <c r="T7" s="27" t="e">
        <f t="shared" si="1"/>
        <v>#REF!</v>
      </c>
      <c r="U7" s="27" t="e">
        <f t="shared" si="1"/>
        <v>#REF!</v>
      </c>
      <c r="V7" s="27" t="e">
        <f t="shared" si="1"/>
        <v>#REF!</v>
      </c>
      <c r="W7" s="27" t="e">
        <f t="shared" si="1"/>
        <v>#REF!</v>
      </c>
    </row>
    <row r="8" spans="1:23" ht="34">
      <c r="A8" s="18" t="s">
        <v>105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1" customFormat="1" ht="30" customHeight="1">
      <c r="A9" s="24" t="s">
        <v>106</v>
      </c>
      <c r="B9" s="25">
        <f>B10+B11+B12</f>
        <v>8850000</v>
      </c>
      <c r="C9" s="25">
        <f t="shared" ref="C9:M9" si="2">C10+C11+C12</f>
        <v>9350000</v>
      </c>
      <c r="D9" s="25">
        <f t="shared" si="2"/>
        <v>10250000</v>
      </c>
      <c r="E9" s="25">
        <f t="shared" si="2"/>
        <v>11050000</v>
      </c>
      <c r="F9" s="25">
        <f t="shared" si="2"/>
        <v>11750000</v>
      </c>
      <c r="G9" s="25">
        <f t="shared" si="2"/>
        <v>12000000</v>
      </c>
      <c r="H9" s="25">
        <f t="shared" si="2"/>
        <v>12300000</v>
      </c>
      <c r="I9" s="25">
        <f t="shared" si="2"/>
        <v>12300000</v>
      </c>
      <c r="J9" s="25">
        <f t="shared" si="2"/>
        <v>12450000</v>
      </c>
      <c r="K9" s="25">
        <f t="shared" si="2"/>
        <v>12600000</v>
      </c>
      <c r="L9" s="25">
        <f t="shared" si="2"/>
        <v>12800000</v>
      </c>
      <c r="M9" s="25">
        <f t="shared" si="2"/>
        <v>13500000</v>
      </c>
      <c r="N9" s="25">
        <f>N10+N11+N12</f>
        <v>139200000</v>
      </c>
      <c r="O9" s="25">
        <f>O10+O11+O12</f>
        <v>242990000</v>
      </c>
      <c r="P9" s="25">
        <f t="shared" ref="P9:W9" si="3">P10+P11+P12</f>
        <v>259999300</v>
      </c>
      <c r="Q9" s="25">
        <f t="shared" si="3"/>
        <v>0</v>
      </c>
      <c r="R9" s="25">
        <f t="shared" si="3"/>
        <v>0</v>
      </c>
      <c r="S9" s="25">
        <f t="shared" si="3"/>
        <v>0</v>
      </c>
      <c r="T9" s="25">
        <f t="shared" si="3"/>
        <v>0</v>
      </c>
      <c r="U9" s="25">
        <f t="shared" si="3"/>
        <v>0</v>
      </c>
      <c r="V9" s="25">
        <f t="shared" si="3"/>
        <v>0</v>
      </c>
      <c r="W9" s="25">
        <f t="shared" si="3"/>
        <v>0</v>
      </c>
    </row>
    <row r="10" spans="1:23" ht="17">
      <c r="A10" s="26" t="s">
        <v>96</v>
      </c>
      <c r="B10" s="13">
        <f>'6.ОПУ'!B8</f>
        <v>8850000</v>
      </c>
      <c r="C10" s="13">
        <f>'6.ОПУ'!C8</f>
        <v>9350000</v>
      </c>
      <c r="D10" s="13">
        <f>'6.ОПУ'!D8</f>
        <v>10250000</v>
      </c>
      <c r="E10" s="13">
        <f>'6.ОПУ'!E8</f>
        <v>11050000</v>
      </c>
      <c r="F10" s="13">
        <f>'6.ОПУ'!F8</f>
        <v>11750000</v>
      </c>
      <c r="G10" s="13">
        <f>'6.ОПУ'!G8</f>
        <v>12000000</v>
      </c>
      <c r="H10" s="13">
        <f>'6.ОПУ'!H8</f>
        <v>12300000</v>
      </c>
      <c r="I10" s="13">
        <f>'6.ОПУ'!I8</f>
        <v>12300000</v>
      </c>
      <c r="J10" s="13">
        <f>'6.ОПУ'!J8</f>
        <v>12450000</v>
      </c>
      <c r="K10" s="13">
        <f>'6.ОПУ'!K8</f>
        <v>12600000</v>
      </c>
      <c r="L10" s="13">
        <f>'6.ОПУ'!L8</f>
        <v>12800000</v>
      </c>
      <c r="M10" s="13">
        <f>'6.ОПУ'!M8</f>
        <v>13500000</v>
      </c>
      <c r="N10" s="13">
        <f>SUM(B10:M10)</f>
        <v>139200000</v>
      </c>
      <c r="O10" s="13">
        <f>'6.ОПУ'!O8</f>
        <v>242990000</v>
      </c>
      <c r="P10" s="13">
        <f>'6.ОПУ'!P8</f>
        <v>259999300</v>
      </c>
      <c r="Q10" s="13">
        <f>'6.ОПУ'!Q8</f>
        <v>0</v>
      </c>
      <c r="R10" s="13">
        <f>'6.ОПУ'!R8</f>
        <v>0</v>
      </c>
      <c r="S10" s="13">
        <f>'6.ОПУ'!S8</f>
        <v>0</v>
      </c>
      <c r="T10" s="13">
        <f>'6.ОПУ'!T8</f>
        <v>0</v>
      </c>
      <c r="U10" s="13">
        <f>'6.ОПУ'!U8</f>
        <v>0</v>
      </c>
      <c r="V10" s="13">
        <f>'6.ОПУ'!V8</f>
        <v>0</v>
      </c>
      <c r="W10" s="13">
        <f>'6.ОПУ'!W8</f>
        <v>0</v>
      </c>
    </row>
    <row r="11" spans="1:23" s="11" customFormat="1" ht="17">
      <c r="A11" s="26" t="s">
        <v>107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>SUM(B11:M11)</f>
        <v>0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1" customFormat="1" ht="17" hidden="1">
      <c r="A12" s="26" t="s">
        <v>179</v>
      </c>
      <c r="B12" s="13">
        <f>'6.ОПУ'!B12</f>
        <v>0</v>
      </c>
      <c r="C12" s="13">
        <f>'6.ОПУ'!C12</f>
        <v>0</v>
      </c>
      <c r="D12" s="13">
        <f>'6.ОПУ'!D12</f>
        <v>0</v>
      </c>
      <c r="E12" s="13">
        <f>'6.ОПУ'!E12</f>
        <v>0</v>
      </c>
      <c r="F12" s="13">
        <f>'6.ОПУ'!F12</f>
        <v>0</v>
      </c>
      <c r="G12" s="13">
        <f>'6.ОПУ'!G12</f>
        <v>0</v>
      </c>
      <c r="H12" s="13">
        <f>'6.ОПУ'!H12</f>
        <v>0</v>
      </c>
      <c r="I12" s="13">
        <f>'6.ОПУ'!I12</f>
        <v>0</v>
      </c>
      <c r="J12" s="13">
        <f>'6.ОПУ'!J12</f>
        <v>0</v>
      </c>
      <c r="K12" s="13">
        <f>'6.ОПУ'!K12</f>
        <v>0</v>
      </c>
      <c r="L12" s="13">
        <f>'6.ОПУ'!L12</f>
        <v>0</v>
      </c>
      <c r="M12" s="13">
        <f>'6.ОПУ'!M12</f>
        <v>0</v>
      </c>
      <c r="N12" s="13">
        <f>'6.ОПУ'!N12</f>
        <v>0</v>
      </c>
      <c r="O12" s="13">
        <f>'6.ОПУ'!O12</f>
        <v>0</v>
      </c>
      <c r="P12" s="13">
        <f>'6.ОПУ'!P12</f>
        <v>0</v>
      </c>
      <c r="Q12" s="13">
        <f>'6.ОПУ'!Q12</f>
        <v>0</v>
      </c>
      <c r="R12" s="13">
        <f>'6.ОПУ'!R12</f>
        <v>0</v>
      </c>
      <c r="S12" s="13">
        <f>'6.ОПУ'!S12</f>
        <v>0</v>
      </c>
      <c r="T12" s="13">
        <f>'6.ОПУ'!T12</f>
        <v>0</v>
      </c>
      <c r="U12" s="13">
        <f>'6.ОПУ'!U12</f>
        <v>0</v>
      </c>
      <c r="V12" s="13">
        <f>'6.ОПУ'!V12</f>
        <v>0</v>
      </c>
      <c r="W12" s="13">
        <f>'6.ОПУ'!W12</f>
        <v>0</v>
      </c>
    </row>
    <row r="13" spans="1:23" ht="15.75" customHeight="1">
      <c r="A13" s="24" t="s">
        <v>108</v>
      </c>
      <c r="B13" s="25">
        <f>SUM(B14:B23)</f>
        <v>5424250</v>
      </c>
      <c r="C13" s="25">
        <f t="shared" ref="C13:Q13" si="4">SUM(C15:C23)</f>
        <v>6465100</v>
      </c>
      <c r="D13" s="25">
        <f t="shared" si="4"/>
        <v>6465100</v>
      </c>
      <c r="E13" s="25">
        <f t="shared" si="4"/>
        <v>6465100</v>
      </c>
      <c r="F13" s="25">
        <f t="shared" si="4"/>
        <v>6465100</v>
      </c>
      <c r="G13" s="25">
        <f t="shared" si="4"/>
        <v>6465100</v>
      </c>
      <c r="H13" s="25">
        <f t="shared" si="4"/>
        <v>6465100</v>
      </c>
      <c r="I13" s="25">
        <f t="shared" si="4"/>
        <v>6465100</v>
      </c>
      <c r="J13" s="25">
        <f t="shared" si="4"/>
        <v>6465100</v>
      </c>
      <c r="K13" s="25">
        <f t="shared" si="4"/>
        <v>6465100</v>
      </c>
      <c r="L13" s="25">
        <f t="shared" si="4"/>
        <v>6465100</v>
      </c>
      <c r="M13" s="25">
        <f t="shared" si="4"/>
        <v>6465100</v>
      </c>
      <c r="N13" s="25">
        <f>SUM(N14:N23)</f>
        <v>85232280</v>
      </c>
      <c r="O13" s="25">
        <f t="shared" si="4"/>
        <v>118286960</v>
      </c>
      <c r="P13" s="25">
        <f>SUM(P15:P23)</f>
        <v>122958599.2</v>
      </c>
      <c r="Q13" s="25">
        <f t="shared" si="4"/>
        <v>0</v>
      </c>
      <c r="R13" s="25">
        <f t="shared" ref="R13:W13" si="5">SUM(R15:R23)</f>
        <v>0</v>
      </c>
      <c r="S13" s="25">
        <f t="shared" si="5"/>
        <v>0</v>
      </c>
      <c r="T13" s="25">
        <f t="shared" si="5"/>
        <v>0</v>
      </c>
      <c r="U13" s="25">
        <f t="shared" si="5"/>
        <v>0</v>
      </c>
      <c r="V13" s="25">
        <f t="shared" si="5"/>
        <v>0</v>
      </c>
      <c r="W13" s="25">
        <f t="shared" si="5"/>
        <v>0</v>
      </c>
    </row>
    <row r="14" spans="1:23" ht="15.75" hidden="1" customHeight="1">
      <c r="A14" s="24" t="s">
        <v>133</v>
      </c>
      <c r="B14" s="13">
        <f>'1.График (гориз)'!E8*0.0035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3">
        <f t="shared" ref="N14:N22" si="6">SUM(B14:M14)</f>
        <v>0</v>
      </c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5" customHeight="1">
      <c r="A15" s="26" t="s">
        <v>98</v>
      </c>
      <c r="B15" s="13">
        <f>'6.ОПУ'!B15</f>
        <v>0</v>
      </c>
      <c r="C15" s="13">
        <f>'6.ОПУ'!C15</f>
        <v>0</v>
      </c>
      <c r="D15" s="13">
        <f>'6.ОПУ'!D15</f>
        <v>0</v>
      </c>
      <c r="E15" s="13">
        <f>'6.ОПУ'!E15</f>
        <v>0</v>
      </c>
      <c r="F15" s="13">
        <f>'6.ОПУ'!F15</f>
        <v>0</v>
      </c>
      <c r="G15" s="13">
        <f>'6.ОПУ'!G15</f>
        <v>0</v>
      </c>
      <c r="H15" s="13">
        <f>'6.ОПУ'!H15</f>
        <v>0</v>
      </c>
      <c r="I15" s="13">
        <f>'6.ОПУ'!I15</f>
        <v>0</v>
      </c>
      <c r="J15" s="13">
        <f>'6.ОПУ'!J15</f>
        <v>0</v>
      </c>
      <c r="K15" s="13">
        <f>'6.ОПУ'!K15</f>
        <v>0</v>
      </c>
      <c r="L15" s="13">
        <f>'6.ОПУ'!L15</f>
        <v>0</v>
      </c>
      <c r="M15" s="13">
        <f>'6.ОПУ'!M15</f>
        <v>0</v>
      </c>
      <c r="N15" s="13">
        <f>'6.ОПУ'!N15</f>
        <v>0</v>
      </c>
      <c r="O15" s="13">
        <f>'6.ОПУ'!O15</f>
        <v>0</v>
      </c>
      <c r="P15" s="13">
        <f>'6.ОПУ'!P15</f>
        <v>0</v>
      </c>
      <c r="Q15" s="13">
        <f>'6.ОПУ'!Q15</f>
        <v>0</v>
      </c>
      <c r="R15" s="13">
        <f>'6.ОПУ'!R15</f>
        <v>0</v>
      </c>
      <c r="S15" s="13">
        <f>'6.ОПУ'!S15</f>
        <v>0</v>
      </c>
      <c r="T15" s="13">
        <f>'6.ОПУ'!T15</f>
        <v>0</v>
      </c>
      <c r="U15" s="13">
        <f>'6.ОПУ'!U15</f>
        <v>0</v>
      </c>
      <c r="V15" s="13">
        <f>'6.ОПУ'!V15</f>
        <v>0</v>
      </c>
      <c r="W15" s="13">
        <f>'6.ОПУ'!W15</f>
        <v>0</v>
      </c>
    </row>
    <row r="16" spans="1:23" ht="33" customHeight="1">
      <c r="A16" s="26" t="s">
        <v>81</v>
      </c>
      <c r="B16" s="13">
        <f>'6.ОПУ'!B18</f>
        <v>5000000</v>
      </c>
      <c r="C16" s="13">
        <f>'6.ОПУ'!C18</f>
        <v>6000000</v>
      </c>
      <c r="D16" s="13">
        <f>'6.ОПУ'!D18</f>
        <v>6000000</v>
      </c>
      <c r="E16" s="13">
        <f>'6.ОПУ'!E18</f>
        <v>6000000</v>
      </c>
      <c r="F16" s="13">
        <f>'6.ОПУ'!F18</f>
        <v>6000000</v>
      </c>
      <c r="G16" s="13">
        <f>'6.ОПУ'!G18</f>
        <v>6000000</v>
      </c>
      <c r="H16" s="13">
        <f>'6.ОПУ'!H18</f>
        <v>6000000</v>
      </c>
      <c r="I16" s="13">
        <f>'6.ОПУ'!I18</f>
        <v>6000000</v>
      </c>
      <c r="J16" s="13">
        <f>'6.ОПУ'!J18</f>
        <v>6000000</v>
      </c>
      <c r="K16" s="13">
        <f>'6.ОПУ'!K18</f>
        <v>6000000</v>
      </c>
      <c r="L16" s="13">
        <f>'6.ОПУ'!L18</f>
        <v>6000000</v>
      </c>
      <c r="M16" s="13">
        <f>'6.ОПУ'!M18</f>
        <v>6000000</v>
      </c>
      <c r="N16" s="13">
        <f>'6.ОПУ'!N18</f>
        <v>71000000</v>
      </c>
      <c r="O16" s="13">
        <f>'6.ОПУ'!O18</f>
        <v>87026400</v>
      </c>
      <c r="P16" s="13">
        <f>'6.ОПУ'!P18</f>
        <v>88766928</v>
      </c>
      <c r="Q16" s="13">
        <f>'6.ОПУ'!Q18</f>
        <v>0</v>
      </c>
      <c r="R16" s="13">
        <f>'6.ОПУ'!R18</f>
        <v>0</v>
      </c>
      <c r="S16" s="13">
        <f>'6.ОПУ'!S18</f>
        <v>0</v>
      </c>
      <c r="T16" s="13">
        <f>'6.ОПУ'!T18</f>
        <v>0</v>
      </c>
      <c r="U16" s="13">
        <f>'6.ОПУ'!U18</f>
        <v>0</v>
      </c>
      <c r="V16" s="13">
        <f>'6.ОПУ'!V18</f>
        <v>0</v>
      </c>
      <c r="W16" s="13">
        <f>'6.ОПУ'!W18</f>
        <v>0</v>
      </c>
    </row>
    <row r="17" spans="1:23" ht="33" customHeight="1">
      <c r="A17" s="28" t="s">
        <v>89</v>
      </c>
      <c r="B17" s="13">
        <f>'6.ОПУ'!B22</f>
        <v>50000</v>
      </c>
      <c r="C17" s="13">
        <f>'6.ОПУ'!C22</f>
        <v>50000</v>
      </c>
      <c r="D17" s="13">
        <f>'6.ОПУ'!D22</f>
        <v>50000</v>
      </c>
      <c r="E17" s="13">
        <f>'6.ОПУ'!E22</f>
        <v>50000</v>
      </c>
      <c r="F17" s="13">
        <f>'6.ОПУ'!F22</f>
        <v>50000</v>
      </c>
      <c r="G17" s="13">
        <f>'6.ОПУ'!G22</f>
        <v>50000</v>
      </c>
      <c r="H17" s="13">
        <f>'6.ОПУ'!H22</f>
        <v>50000</v>
      </c>
      <c r="I17" s="13">
        <f>'6.ОПУ'!I22</f>
        <v>50000</v>
      </c>
      <c r="J17" s="13">
        <f>'6.ОПУ'!J22</f>
        <v>50000</v>
      </c>
      <c r="K17" s="13">
        <f>'6.ОПУ'!K22</f>
        <v>50000</v>
      </c>
      <c r="L17" s="13">
        <f>'6.ОПУ'!L22</f>
        <v>50000</v>
      </c>
      <c r="M17" s="13">
        <f>'6.ОПУ'!M22</f>
        <v>50000</v>
      </c>
      <c r="N17" s="13">
        <f t="shared" si="6"/>
        <v>600000</v>
      </c>
      <c r="O17" s="13">
        <f>'6.ОПУ'!O22</f>
        <v>612000</v>
      </c>
      <c r="P17" s="13">
        <f>'6.ОПУ'!P22</f>
        <v>624240</v>
      </c>
      <c r="Q17" s="13">
        <f>'6.ОПУ'!Q22</f>
        <v>0</v>
      </c>
      <c r="R17" s="13">
        <f>'6.ОПУ'!R22</f>
        <v>0</v>
      </c>
      <c r="S17" s="13">
        <f>'6.ОПУ'!S22</f>
        <v>0</v>
      </c>
      <c r="T17" s="13">
        <f>'6.ОПУ'!T22</f>
        <v>0</v>
      </c>
      <c r="U17" s="13">
        <f>'6.ОПУ'!U22</f>
        <v>0</v>
      </c>
      <c r="V17" s="13">
        <f>'6.ОПУ'!V22</f>
        <v>0</v>
      </c>
      <c r="W17" s="13">
        <f>'6.ОПУ'!W22</f>
        <v>0</v>
      </c>
    </row>
    <row r="18" spans="1:23" ht="33" customHeight="1">
      <c r="A18" s="29" t="s">
        <v>90</v>
      </c>
      <c r="B18" s="13">
        <f>'6.ОПУ'!B23</f>
        <v>50000</v>
      </c>
      <c r="C18" s="13">
        <f>'6.ОПУ'!C23</f>
        <v>50000</v>
      </c>
      <c r="D18" s="13">
        <f>'6.ОПУ'!D23</f>
        <v>50000</v>
      </c>
      <c r="E18" s="13">
        <f>'6.ОПУ'!E23</f>
        <v>50000</v>
      </c>
      <c r="F18" s="13">
        <f>'6.ОПУ'!F23</f>
        <v>50000</v>
      </c>
      <c r="G18" s="13">
        <f>'6.ОПУ'!G23</f>
        <v>50000</v>
      </c>
      <c r="H18" s="13">
        <f>'6.ОПУ'!H23</f>
        <v>50000</v>
      </c>
      <c r="I18" s="13">
        <f>'6.ОПУ'!I23</f>
        <v>50000</v>
      </c>
      <c r="J18" s="13">
        <f>'6.ОПУ'!J23</f>
        <v>50000</v>
      </c>
      <c r="K18" s="13">
        <f>'6.ОПУ'!K23</f>
        <v>50000</v>
      </c>
      <c r="L18" s="13">
        <f>'6.ОПУ'!L23</f>
        <v>50000</v>
      </c>
      <c r="M18" s="13">
        <f>'6.ОПУ'!M23</f>
        <v>50000</v>
      </c>
      <c r="N18" s="13">
        <f t="shared" si="6"/>
        <v>600000</v>
      </c>
      <c r="O18" s="13">
        <f>'6.ОПУ'!O23</f>
        <v>612000</v>
      </c>
      <c r="P18" s="13">
        <f>'6.ОПУ'!P23</f>
        <v>624240</v>
      </c>
      <c r="Q18" s="13">
        <f>'6.ОПУ'!Q23</f>
        <v>0</v>
      </c>
      <c r="R18" s="13">
        <f>'6.ОПУ'!R23</f>
        <v>0</v>
      </c>
      <c r="S18" s="13">
        <f>'6.ОПУ'!S23</f>
        <v>0</v>
      </c>
      <c r="T18" s="13">
        <f>'6.ОПУ'!T23</f>
        <v>0</v>
      </c>
      <c r="U18" s="13">
        <f>'6.ОПУ'!U23</f>
        <v>0</v>
      </c>
      <c r="V18" s="13">
        <f>'6.ОПУ'!V23</f>
        <v>0</v>
      </c>
      <c r="W18" s="13">
        <f>'6.ОПУ'!W23</f>
        <v>0</v>
      </c>
    </row>
    <row r="19" spans="1:23" s="11" customFormat="1" ht="30" customHeight="1">
      <c r="A19" s="28" t="s">
        <v>87</v>
      </c>
      <c r="B19" s="13">
        <f>'6.ОПУ'!B24</f>
        <v>100000</v>
      </c>
      <c r="C19" s="13">
        <f>'6.ОПУ'!C24</f>
        <v>100000</v>
      </c>
      <c r="D19" s="13">
        <f>'6.ОПУ'!D24</f>
        <v>100000</v>
      </c>
      <c r="E19" s="13">
        <f>'6.ОПУ'!E24</f>
        <v>100000</v>
      </c>
      <c r="F19" s="13">
        <f>'6.ОПУ'!F24</f>
        <v>100000</v>
      </c>
      <c r="G19" s="13">
        <f>'6.ОПУ'!G24</f>
        <v>100000</v>
      </c>
      <c r="H19" s="13">
        <f>'6.ОПУ'!H24</f>
        <v>100000</v>
      </c>
      <c r="I19" s="13">
        <f>'6.ОПУ'!I24</f>
        <v>100000</v>
      </c>
      <c r="J19" s="13">
        <f>'6.ОПУ'!J24</f>
        <v>100000</v>
      </c>
      <c r="K19" s="13">
        <f>'6.ОПУ'!K24</f>
        <v>100000</v>
      </c>
      <c r="L19" s="13">
        <f>'6.ОПУ'!L24</f>
        <v>100000</v>
      </c>
      <c r="M19" s="13">
        <f>'6.ОПУ'!M24</f>
        <v>100000</v>
      </c>
      <c r="N19" s="13">
        <f t="shared" si="6"/>
        <v>1200000</v>
      </c>
      <c r="O19" s="13">
        <f>'6.ОПУ'!O24</f>
        <v>1224000</v>
      </c>
      <c r="P19" s="13">
        <f>'6.ОПУ'!P24</f>
        <v>1248480</v>
      </c>
      <c r="Q19" s="13">
        <f>'6.ОПУ'!Q24</f>
        <v>0</v>
      </c>
      <c r="R19" s="13">
        <f>'6.ОПУ'!R24</f>
        <v>0</v>
      </c>
      <c r="S19" s="13">
        <f>'6.ОПУ'!S24</f>
        <v>0</v>
      </c>
      <c r="T19" s="13">
        <f>'6.ОПУ'!T24</f>
        <v>0</v>
      </c>
      <c r="U19" s="13">
        <f>'6.ОПУ'!U24</f>
        <v>0</v>
      </c>
      <c r="V19" s="13">
        <f>'6.ОПУ'!V24</f>
        <v>0</v>
      </c>
      <c r="W19" s="13">
        <f>'6.ОПУ'!W24</f>
        <v>0</v>
      </c>
    </row>
    <row r="20" spans="1:23" ht="16.5" customHeight="1">
      <c r="A20" s="28" t="s">
        <v>88</v>
      </c>
      <c r="B20" s="13">
        <f>'6.ОПУ'!B25</f>
        <v>20000</v>
      </c>
      <c r="C20" s="13">
        <f>'6.ОПУ'!C25</f>
        <v>20000</v>
      </c>
      <c r="D20" s="13">
        <f>'6.ОПУ'!D25</f>
        <v>20000</v>
      </c>
      <c r="E20" s="13">
        <f>'6.ОПУ'!E25</f>
        <v>20000</v>
      </c>
      <c r="F20" s="13">
        <f>'6.ОПУ'!F25</f>
        <v>20000</v>
      </c>
      <c r="G20" s="13">
        <f>'6.ОПУ'!G25</f>
        <v>20000</v>
      </c>
      <c r="H20" s="13">
        <f>'6.ОПУ'!H25</f>
        <v>20000</v>
      </c>
      <c r="I20" s="13">
        <f>'6.ОПУ'!I25</f>
        <v>20000</v>
      </c>
      <c r="J20" s="13">
        <f>'6.ОПУ'!J25</f>
        <v>20000</v>
      </c>
      <c r="K20" s="13">
        <f>'6.ОПУ'!K25</f>
        <v>20000</v>
      </c>
      <c r="L20" s="13">
        <f>'6.ОПУ'!L25</f>
        <v>20000</v>
      </c>
      <c r="M20" s="13">
        <f>'6.ОПУ'!M25</f>
        <v>20000</v>
      </c>
      <c r="N20" s="13">
        <f t="shared" si="6"/>
        <v>240000</v>
      </c>
      <c r="O20" s="13">
        <f>'6.ОПУ'!O25</f>
        <v>244800</v>
      </c>
      <c r="P20" s="13">
        <f>'6.ОПУ'!P25</f>
        <v>249696</v>
      </c>
      <c r="Q20" s="13">
        <f>'6.ОПУ'!Q25</f>
        <v>0</v>
      </c>
      <c r="R20" s="13">
        <f>'6.ОПУ'!R25</f>
        <v>0</v>
      </c>
      <c r="S20" s="13">
        <f>'6.ОПУ'!S25</f>
        <v>0</v>
      </c>
      <c r="T20" s="13">
        <f>'6.ОПУ'!T25</f>
        <v>0</v>
      </c>
      <c r="U20" s="13">
        <f>'6.ОПУ'!U25</f>
        <v>0</v>
      </c>
      <c r="V20" s="13">
        <f>'6.ОПУ'!V25</f>
        <v>0</v>
      </c>
      <c r="W20" s="13">
        <f>'6.ОПУ'!W25</f>
        <v>0</v>
      </c>
    </row>
    <row r="21" spans="1:23" s="11" customFormat="1" ht="30" customHeight="1">
      <c r="A21" s="26" t="s">
        <v>109</v>
      </c>
      <c r="B21" s="13">
        <f>'6.ОПУ'!B28</f>
        <v>0</v>
      </c>
      <c r="C21" s="13">
        <f>'6.ОПУ'!C28</f>
        <v>0</v>
      </c>
      <c r="D21" s="13">
        <f>'6.ОПУ'!D28</f>
        <v>0</v>
      </c>
      <c r="E21" s="13">
        <f>'6.ОПУ'!E28</f>
        <v>0</v>
      </c>
      <c r="F21" s="13">
        <f>'6.ОПУ'!F28</f>
        <v>0</v>
      </c>
      <c r="G21" s="13">
        <f>'6.ОПУ'!G28</f>
        <v>0</v>
      </c>
      <c r="H21" s="13">
        <f>'6.ОПУ'!H28</f>
        <v>0</v>
      </c>
      <c r="I21" s="13">
        <f>'6.ОПУ'!I28</f>
        <v>0</v>
      </c>
      <c r="J21" s="13">
        <f>'6.ОПУ'!J28</f>
        <v>0</v>
      </c>
      <c r="K21" s="13">
        <f>'6.ОПУ'!K28</f>
        <v>0</v>
      </c>
      <c r="L21" s="13">
        <f>'6.ОПУ'!L28</f>
        <v>0</v>
      </c>
      <c r="M21" s="13">
        <f>'6.ОПУ'!M28</f>
        <v>0</v>
      </c>
      <c r="N21" s="13">
        <f>'6.ОПУ'!N28</f>
        <v>0</v>
      </c>
      <c r="O21" s="13">
        <f>'6.ОПУ'!O28</f>
        <v>0</v>
      </c>
      <c r="P21" s="13">
        <f>'6.ОПУ'!P28</f>
        <v>0</v>
      </c>
      <c r="Q21" s="13">
        <f>'6.ОПУ'!Q28</f>
        <v>0</v>
      </c>
      <c r="R21" s="13">
        <f>'6.ОПУ'!R28</f>
        <v>0</v>
      </c>
      <c r="S21" s="13">
        <f>'6.ОПУ'!S28</f>
        <v>0</v>
      </c>
      <c r="T21" s="13">
        <f>'6.ОПУ'!T28</f>
        <v>0</v>
      </c>
      <c r="U21" s="13">
        <f>'6.ОПУ'!U28</f>
        <v>0</v>
      </c>
      <c r="V21" s="13">
        <f>'6.ОПУ'!V28</f>
        <v>0</v>
      </c>
      <c r="W21" s="13">
        <f>'6.ОПУ'!W28</f>
        <v>0</v>
      </c>
    </row>
    <row r="22" spans="1:23" ht="15" customHeight="1">
      <c r="A22" s="26" t="s">
        <v>110</v>
      </c>
      <c r="B22" s="13">
        <f>'6.ОПУ'!B11</f>
        <v>0</v>
      </c>
      <c r="C22" s="13">
        <f>'6.ОПУ'!C11</f>
        <v>0</v>
      </c>
      <c r="D22" s="13">
        <f>'6.ОПУ'!D11</f>
        <v>0</v>
      </c>
      <c r="E22" s="13">
        <f>'6.ОПУ'!E11</f>
        <v>0</v>
      </c>
      <c r="F22" s="13">
        <f>'6.ОПУ'!F11</f>
        <v>0</v>
      </c>
      <c r="G22" s="13">
        <f>'6.ОПУ'!G11</f>
        <v>0</v>
      </c>
      <c r="H22" s="13">
        <f>'6.ОПУ'!H11</f>
        <v>0</v>
      </c>
      <c r="I22" s="13">
        <f>'6.ОПУ'!I11</f>
        <v>0</v>
      </c>
      <c r="J22" s="13">
        <f>'6.ОПУ'!J11</f>
        <v>0</v>
      </c>
      <c r="K22" s="13">
        <f>'6.ОПУ'!K11</f>
        <v>0</v>
      </c>
      <c r="L22" s="13">
        <f>'6.ОПУ'!L11</f>
        <v>0</v>
      </c>
      <c r="M22" s="13">
        <f>'6.ОПУ'!M11</f>
        <v>0</v>
      </c>
      <c r="N22" s="13">
        <f t="shared" si="6"/>
        <v>0</v>
      </c>
      <c r="O22" s="13">
        <f>'6.ОПУ'!O11</f>
        <v>0</v>
      </c>
      <c r="P22" s="13">
        <f>'6.ОПУ'!P11</f>
        <v>0</v>
      </c>
      <c r="Q22" s="13">
        <f>'6.ОПУ'!Q11</f>
        <v>0</v>
      </c>
      <c r="R22" s="13">
        <f>'6.ОПУ'!R11</f>
        <v>0</v>
      </c>
      <c r="S22" s="13">
        <f>'6.ОПУ'!S11</f>
        <v>0</v>
      </c>
      <c r="T22" s="13">
        <f>'6.ОПУ'!T11</f>
        <v>0</v>
      </c>
      <c r="U22" s="13">
        <f>'6.ОПУ'!U11</f>
        <v>0</v>
      </c>
      <c r="V22" s="13">
        <f>'6.ОПУ'!V11</f>
        <v>0</v>
      </c>
      <c r="W22" s="13">
        <f>'6.ОПУ'!W11</f>
        <v>0</v>
      </c>
    </row>
    <row r="23" spans="1:23" ht="30" customHeight="1">
      <c r="A23" s="26" t="s">
        <v>100</v>
      </c>
      <c r="B23" s="13">
        <f>'6.ОПУ'!B19++'6.ОПУ'!B30</f>
        <v>204250</v>
      </c>
      <c r="C23" s="13">
        <f>'6.ОПУ'!C19++'6.ОПУ'!C30</f>
        <v>245100</v>
      </c>
      <c r="D23" s="13">
        <f>'6.ОПУ'!D19++'6.ОПУ'!D30</f>
        <v>245100</v>
      </c>
      <c r="E23" s="13">
        <f>'6.ОПУ'!E19++'6.ОПУ'!E30</f>
        <v>245100</v>
      </c>
      <c r="F23" s="13">
        <f>'6.ОПУ'!F19++'6.ОПУ'!F30</f>
        <v>245100</v>
      </c>
      <c r="G23" s="13">
        <f>'6.ОПУ'!G19++'6.ОПУ'!G30</f>
        <v>245100</v>
      </c>
      <c r="H23" s="13">
        <f>'6.ОПУ'!H19++'6.ОПУ'!H30</f>
        <v>245100</v>
      </c>
      <c r="I23" s="13">
        <f>'6.ОПУ'!I19++'6.ОПУ'!I30</f>
        <v>245100</v>
      </c>
      <c r="J23" s="13">
        <f>'6.ОПУ'!J19++'6.ОПУ'!J30</f>
        <v>245100</v>
      </c>
      <c r="K23" s="13">
        <f>'6.ОПУ'!K19++'6.ОПУ'!K30</f>
        <v>245100</v>
      </c>
      <c r="L23" s="13">
        <f>'6.ОПУ'!L19++'6.ОПУ'!L30</f>
        <v>245100</v>
      </c>
      <c r="M23" s="13">
        <f>'6.ОПУ'!M19++'6.ОПУ'!M30</f>
        <v>245100</v>
      </c>
      <c r="N23" s="13">
        <f>'6.ОПУ'!N19++'6.ОПУ'!N30</f>
        <v>11592280</v>
      </c>
      <c r="O23" s="13">
        <f>'6.ОПУ'!O19++'6.ОПУ'!O30</f>
        <v>28567760</v>
      </c>
      <c r="P23" s="13">
        <f>'6.ОПУ'!P19++'6.ОПУ'!P30</f>
        <v>31445015.200000003</v>
      </c>
      <c r="Q23" s="13">
        <f>'6.ОПУ'!Q19++'6.ОПУ'!Q30</f>
        <v>0</v>
      </c>
      <c r="R23" s="13">
        <f>'6.ОПУ'!R19++'6.ОПУ'!R30</f>
        <v>0</v>
      </c>
      <c r="S23" s="13">
        <f>'6.ОПУ'!S19++'6.ОПУ'!S30</f>
        <v>0</v>
      </c>
      <c r="T23" s="13">
        <f>'6.ОПУ'!T19++'6.ОПУ'!T30</f>
        <v>0</v>
      </c>
      <c r="U23" s="13">
        <f>'6.ОПУ'!U19++'6.ОПУ'!U30</f>
        <v>0</v>
      </c>
      <c r="V23" s="13">
        <f>'6.ОПУ'!V19++'6.ОПУ'!V30</f>
        <v>0</v>
      </c>
      <c r="W23" s="13">
        <f>'6.ОПУ'!W19++'6.ОПУ'!W30</f>
        <v>0</v>
      </c>
    </row>
    <row r="24" spans="1:23" s="11" customFormat="1" ht="17">
      <c r="A24" s="18" t="s">
        <v>111</v>
      </c>
      <c r="B24" s="27">
        <f>B9-B13</f>
        <v>3425750</v>
      </c>
      <c r="C24" s="27">
        <f t="shared" ref="C24:Q24" si="7">C9-C13</f>
        <v>2884900</v>
      </c>
      <c r="D24" s="27">
        <f t="shared" si="7"/>
        <v>3784900</v>
      </c>
      <c r="E24" s="27">
        <f>E9-E13</f>
        <v>4584900</v>
      </c>
      <c r="F24" s="27">
        <f t="shared" si="7"/>
        <v>5284900</v>
      </c>
      <c r="G24" s="27">
        <f t="shared" si="7"/>
        <v>5534900</v>
      </c>
      <c r="H24" s="27">
        <f t="shared" si="7"/>
        <v>5834900</v>
      </c>
      <c r="I24" s="27">
        <f t="shared" si="7"/>
        <v>5834900</v>
      </c>
      <c r="J24" s="27">
        <f t="shared" si="7"/>
        <v>5984900</v>
      </c>
      <c r="K24" s="27">
        <f t="shared" si="7"/>
        <v>6134900</v>
      </c>
      <c r="L24" s="27">
        <f t="shared" si="7"/>
        <v>6334900</v>
      </c>
      <c r="M24" s="27">
        <f t="shared" si="7"/>
        <v>7034900</v>
      </c>
      <c r="N24" s="27">
        <f>N9-N13</f>
        <v>53967720</v>
      </c>
      <c r="O24" s="27">
        <f t="shared" si="7"/>
        <v>124703040</v>
      </c>
      <c r="P24" s="27">
        <f t="shared" si="7"/>
        <v>137040700.80000001</v>
      </c>
      <c r="Q24" s="27">
        <f t="shared" si="7"/>
        <v>0</v>
      </c>
      <c r="R24" s="27">
        <f t="shared" ref="R24:W24" si="8">R9-R13</f>
        <v>0</v>
      </c>
      <c r="S24" s="27">
        <f t="shared" si="8"/>
        <v>0</v>
      </c>
      <c r="T24" s="27">
        <f t="shared" si="8"/>
        <v>0</v>
      </c>
      <c r="U24" s="27">
        <f t="shared" si="8"/>
        <v>0</v>
      </c>
      <c r="V24" s="27">
        <f t="shared" si="8"/>
        <v>0</v>
      </c>
      <c r="W24" s="27">
        <f t="shared" si="8"/>
        <v>0</v>
      </c>
    </row>
    <row r="25" spans="1:23">
      <c r="A25" s="191" t="s">
        <v>112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7.25" customHeight="1">
      <c r="A26" s="26" t="s">
        <v>106</v>
      </c>
      <c r="B26" s="25" t="e">
        <f>B27+B28</f>
        <v>#REF!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7.25" customHeight="1">
      <c r="A27" s="26" t="s">
        <v>220</v>
      </c>
      <c r="B27" s="13" t="e">
        <f>инвестиции!C9+инвестиции!C14+инвестиции!#REF!</f>
        <v>#REF!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32.25" customHeight="1">
      <c r="A28" s="26" t="s">
        <v>221</v>
      </c>
      <c r="B28" s="13">
        <f>инвестиции!C11+инвестиции!C12+инвестиции!C13</f>
        <v>6500000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>SUM(B28:M28)</f>
        <v>6500000</v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30.75" customHeight="1">
      <c r="A29" s="18" t="s">
        <v>113</v>
      </c>
      <c r="B29" s="27" t="e">
        <f>B26-B27-B28</f>
        <v>#REF!</v>
      </c>
      <c r="C29" s="27">
        <f t="shared" ref="C29:M29" si="9">C26-C28</f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27">
        <f t="shared" si="9"/>
        <v>0</v>
      </c>
      <c r="M29" s="27">
        <f t="shared" si="9"/>
        <v>0</v>
      </c>
      <c r="N29" s="27" t="e">
        <f>SUM(B29:M29)</f>
        <v>#REF!</v>
      </c>
      <c r="O29" s="27">
        <f t="shared" ref="O29:W29" si="10">O26-O28</f>
        <v>0</v>
      </c>
      <c r="P29" s="27">
        <f t="shared" si="10"/>
        <v>0</v>
      </c>
      <c r="Q29" s="27">
        <f t="shared" si="10"/>
        <v>0</v>
      </c>
      <c r="R29" s="27">
        <f t="shared" si="10"/>
        <v>0</v>
      </c>
      <c r="S29" s="27">
        <f t="shared" si="10"/>
        <v>0</v>
      </c>
      <c r="T29" s="27">
        <f t="shared" si="10"/>
        <v>0</v>
      </c>
      <c r="U29" s="27">
        <f t="shared" si="10"/>
        <v>0</v>
      </c>
      <c r="V29" s="27">
        <f t="shared" si="10"/>
        <v>0</v>
      </c>
      <c r="W29" s="27">
        <f t="shared" si="10"/>
        <v>0</v>
      </c>
    </row>
    <row r="30" spans="1:23" s="11" customFormat="1" ht="34">
      <c r="A30" s="18" t="s">
        <v>114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6.5" customHeight="1">
      <c r="A31" s="24" t="s">
        <v>115</v>
      </c>
      <c r="B31" s="25"/>
      <c r="C31" s="25">
        <f t="shared" ref="C31:W31" si="11">C33+C32</f>
        <v>0</v>
      </c>
      <c r="D31" s="25">
        <f t="shared" si="11"/>
        <v>0</v>
      </c>
      <c r="E31" s="25">
        <f t="shared" si="11"/>
        <v>0</v>
      </c>
      <c r="F31" s="25">
        <f t="shared" si="11"/>
        <v>0</v>
      </c>
      <c r="G31" s="25">
        <f t="shared" si="11"/>
        <v>0</v>
      </c>
      <c r="H31" s="25">
        <f t="shared" si="11"/>
        <v>0</v>
      </c>
      <c r="I31" s="25">
        <f t="shared" si="11"/>
        <v>0</v>
      </c>
      <c r="J31" s="25">
        <f t="shared" si="11"/>
        <v>0</v>
      </c>
      <c r="K31" s="25">
        <f t="shared" si="11"/>
        <v>0</v>
      </c>
      <c r="L31" s="25">
        <f t="shared" si="11"/>
        <v>0</v>
      </c>
      <c r="M31" s="25">
        <f t="shared" si="11"/>
        <v>0</v>
      </c>
      <c r="N31" s="25">
        <f t="shared" si="11"/>
        <v>0</v>
      </c>
      <c r="O31" s="25">
        <f t="shared" si="11"/>
        <v>0</v>
      </c>
      <c r="P31" s="25">
        <f t="shared" si="11"/>
        <v>0</v>
      </c>
      <c r="Q31" s="25">
        <f t="shared" si="11"/>
        <v>0</v>
      </c>
      <c r="R31" s="25">
        <f t="shared" si="11"/>
        <v>0</v>
      </c>
      <c r="S31" s="25">
        <f t="shared" si="11"/>
        <v>0</v>
      </c>
      <c r="T31" s="25">
        <f t="shared" si="11"/>
        <v>0</v>
      </c>
      <c r="U31" s="25">
        <f t="shared" si="11"/>
        <v>0</v>
      </c>
      <c r="V31" s="25">
        <f t="shared" si="11"/>
        <v>0</v>
      </c>
      <c r="W31" s="25">
        <f t="shared" si="11"/>
        <v>0</v>
      </c>
    </row>
    <row r="32" spans="1:23" ht="16.5" customHeight="1">
      <c r="A32" s="26" t="s">
        <v>170</v>
      </c>
      <c r="B32" s="25">
        <v>150000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s="11" customFormat="1" ht="30" customHeight="1">
      <c r="A33" s="26" t="s">
        <v>116</v>
      </c>
      <c r="B33" s="13">
        <f>'1.График (гориз)'!E8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>SUM(B33:M33)</f>
        <v>0</v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45" customHeight="1">
      <c r="A34" s="24" t="s">
        <v>108</v>
      </c>
      <c r="B34" s="25">
        <f t="shared" ref="B34:W34" si="12">SUM(B35:B35)</f>
        <v>0</v>
      </c>
      <c r="C34" s="25">
        <f t="shared" si="12"/>
        <v>0</v>
      </c>
      <c r="D34" s="25">
        <f t="shared" si="12"/>
        <v>0</v>
      </c>
      <c r="E34" s="25">
        <f t="shared" si="12"/>
        <v>0</v>
      </c>
      <c r="F34" s="25">
        <f t="shared" si="12"/>
        <v>0</v>
      </c>
      <c r="G34" s="25">
        <f t="shared" si="12"/>
        <v>0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  <c r="Q34" s="25">
        <f t="shared" si="12"/>
        <v>0</v>
      </c>
      <c r="R34" s="25">
        <f t="shared" si="12"/>
        <v>0</v>
      </c>
      <c r="S34" s="25">
        <f t="shared" si="12"/>
        <v>0</v>
      </c>
      <c r="T34" s="25">
        <f t="shared" si="12"/>
        <v>0</v>
      </c>
      <c r="U34" s="25">
        <f t="shared" si="12"/>
        <v>0</v>
      </c>
      <c r="V34" s="25">
        <f t="shared" si="12"/>
        <v>0</v>
      </c>
      <c r="W34" s="25">
        <f t="shared" si="12"/>
        <v>0</v>
      </c>
    </row>
    <row r="35" spans="1:23" ht="17">
      <c r="A35" s="26" t="s">
        <v>101</v>
      </c>
      <c r="B35" s="13">
        <f>'6.ОПУ'!B32</f>
        <v>0</v>
      </c>
      <c r="C35" s="13">
        <f>'6.ОПУ'!C32</f>
        <v>0</v>
      </c>
      <c r="D35" s="13">
        <f>'6.ОПУ'!D32</f>
        <v>0</v>
      </c>
      <c r="E35" s="13">
        <f>'6.ОПУ'!E32</f>
        <v>0</v>
      </c>
      <c r="F35" s="13">
        <f>'6.ОПУ'!F32</f>
        <v>0</v>
      </c>
      <c r="G35" s="13">
        <f>'6.ОПУ'!G32</f>
        <v>0</v>
      </c>
      <c r="H35" s="13">
        <f>'6.ОПУ'!H32</f>
        <v>0</v>
      </c>
      <c r="I35" s="13">
        <f>'6.ОПУ'!I32</f>
        <v>0</v>
      </c>
      <c r="J35" s="13">
        <f>'6.ОПУ'!J32</f>
        <v>0</v>
      </c>
      <c r="K35" s="13">
        <f>'6.ОПУ'!K32</f>
        <v>0</v>
      </c>
      <c r="L35" s="13">
        <f>'6.ОПУ'!L32</f>
        <v>0</v>
      </c>
      <c r="M35" s="13">
        <f>'6.ОПУ'!M32</f>
        <v>0</v>
      </c>
      <c r="N35" s="13">
        <f>'6.ОПУ'!N32</f>
        <v>0</v>
      </c>
      <c r="O35" s="13">
        <f>'6.ОПУ'!O32</f>
        <v>0</v>
      </c>
      <c r="P35" s="13">
        <f>'6.ОПУ'!P32</f>
        <v>0</v>
      </c>
      <c r="Q35" s="13">
        <f>'6.ОПУ'!Q32</f>
        <v>0</v>
      </c>
      <c r="R35" s="13">
        <f>'6.ОПУ'!R32</f>
        <v>0</v>
      </c>
      <c r="S35" s="13">
        <f>'6.ОПУ'!S32</f>
        <v>0</v>
      </c>
      <c r="T35" s="13">
        <f>'6.ОПУ'!T32</f>
        <v>0</v>
      </c>
      <c r="U35" s="13">
        <f>'6.ОПУ'!U32</f>
        <v>0</v>
      </c>
      <c r="V35" s="13">
        <f>'6.ОПУ'!V32</f>
        <v>0</v>
      </c>
      <c r="W35" s="13">
        <f>'6.ОПУ'!W32</f>
        <v>0</v>
      </c>
    </row>
    <row r="36" spans="1:23" ht="34.5" customHeight="1">
      <c r="A36" s="18" t="s">
        <v>117</v>
      </c>
      <c r="B36" s="27">
        <f>B31-B34</f>
        <v>0</v>
      </c>
      <c r="C36" s="27">
        <f t="shared" ref="C36:R36" si="13">C31-C34</f>
        <v>0</v>
      </c>
      <c r="D36" s="27">
        <f t="shared" si="13"/>
        <v>0</v>
      </c>
      <c r="E36" s="27">
        <f t="shared" si="13"/>
        <v>0</v>
      </c>
      <c r="F36" s="27">
        <f t="shared" si="13"/>
        <v>0</v>
      </c>
      <c r="G36" s="27">
        <f t="shared" si="13"/>
        <v>0</v>
      </c>
      <c r="H36" s="27">
        <f t="shared" si="13"/>
        <v>0</v>
      </c>
      <c r="I36" s="27">
        <f t="shared" si="13"/>
        <v>0</v>
      </c>
      <c r="J36" s="27">
        <f t="shared" si="13"/>
        <v>0</v>
      </c>
      <c r="K36" s="27">
        <f t="shared" si="13"/>
        <v>0</v>
      </c>
      <c r="L36" s="27">
        <f t="shared" si="13"/>
        <v>0</v>
      </c>
      <c r="M36" s="27">
        <f t="shared" si="13"/>
        <v>0</v>
      </c>
      <c r="N36" s="27">
        <f t="shared" si="13"/>
        <v>0</v>
      </c>
      <c r="O36" s="27">
        <f>O31-O34</f>
        <v>0</v>
      </c>
      <c r="P36" s="27">
        <f t="shared" si="13"/>
        <v>0</v>
      </c>
      <c r="Q36" s="27">
        <f t="shared" si="13"/>
        <v>0</v>
      </c>
      <c r="R36" s="27">
        <f t="shared" si="13"/>
        <v>0</v>
      </c>
      <c r="S36" s="27">
        <f>S31-S34</f>
        <v>0</v>
      </c>
      <c r="T36" s="27">
        <f>T31-T34</f>
        <v>0</v>
      </c>
      <c r="U36" s="27">
        <f>U31-U34</f>
        <v>0</v>
      </c>
      <c r="V36" s="27">
        <f>V31-V34</f>
        <v>0</v>
      </c>
      <c r="W36" s="27">
        <f>W31-W34</f>
        <v>0</v>
      </c>
    </row>
    <row r="37" spans="1:23" ht="34.5" customHeight="1">
      <c r="A37" s="18" t="s">
        <v>169</v>
      </c>
      <c r="B37" s="27" t="e">
        <f>B7+B24+B29+B36</f>
        <v>#REF!</v>
      </c>
      <c r="C37" s="27" t="e">
        <f>D7</f>
        <v>#REF!</v>
      </c>
      <c r="D37" s="27" t="e">
        <f t="shared" ref="D37:L37" si="14">E7</f>
        <v>#REF!</v>
      </c>
      <c r="E37" s="27" t="e">
        <f t="shared" si="14"/>
        <v>#REF!</v>
      </c>
      <c r="F37" s="27" t="e">
        <f t="shared" si="14"/>
        <v>#REF!</v>
      </c>
      <c r="G37" s="27" t="e">
        <f t="shared" si="14"/>
        <v>#REF!</v>
      </c>
      <c r="H37" s="27" t="e">
        <f t="shared" si="14"/>
        <v>#REF!</v>
      </c>
      <c r="I37" s="27" t="e">
        <f t="shared" si="14"/>
        <v>#REF!</v>
      </c>
      <c r="J37" s="27" t="e">
        <f t="shared" si="14"/>
        <v>#REF!</v>
      </c>
      <c r="K37" s="27" t="e">
        <f t="shared" si="14"/>
        <v>#REF!</v>
      </c>
      <c r="L37" s="27" t="e">
        <f t="shared" si="14"/>
        <v>#REF!</v>
      </c>
      <c r="M37" s="27" t="e">
        <f>O7</f>
        <v>#REF!</v>
      </c>
      <c r="N37" s="27" t="e">
        <f>O7</f>
        <v>#REF!</v>
      </c>
      <c r="O37" s="27" t="e">
        <f>P7</f>
        <v>#REF!</v>
      </c>
      <c r="P37" s="27" t="e">
        <f t="shared" ref="P37:V37" si="15">Q7</f>
        <v>#REF!</v>
      </c>
      <c r="Q37" s="27" t="e">
        <f t="shared" si="15"/>
        <v>#REF!</v>
      </c>
      <c r="R37" s="27" t="e">
        <f t="shared" si="15"/>
        <v>#REF!</v>
      </c>
      <c r="S37" s="27" t="e">
        <f t="shared" si="15"/>
        <v>#REF!</v>
      </c>
      <c r="T37" s="27" t="e">
        <f t="shared" si="15"/>
        <v>#REF!</v>
      </c>
      <c r="U37" s="27" t="e">
        <f t="shared" si="15"/>
        <v>#REF!</v>
      </c>
      <c r="V37" s="27" t="e">
        <f t="shared" si="15"/>
        <v>#REF!</v>
      </c>
      <c r="W37" s="27" t="e">
        <f>W7+W24+W29+W36</f>
        <v>#REF!</v>
      </c>
    </row>
  </sheetData>
  <phoneticPr fontId="2" type="noConversion"/>
  <pageMargins left="0.75" right="0.75" top="0.62" bottom="0.18" header="0.5" footer="0.15"/>
  <pageSetup paperSize="9" scale="60" fitToWidth="5" fitToHeight="5" orientation="landscape" verticalDpi="1200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Содержание</vt:lpstr>
      <vt:lpstr>1.График (гориз)</vt:lpstr>
      <vt:lpstr>инвестиции</vt:lpstr>
      <vt:lpstr>2.Персонал</vt:lpstr>
      <vt:lpstr>3.Выручка</vt:lpstr>
      <vt:lpstr>4.Себестоимость</vt:lpstr>
      <vt:lpstr>5.Затраты</vt:lpstr>
      <vt:lpstr>6.ОПУ</vt:lpstr>
      <vt:lpstr>7.CF</vt:lpstr>
      <vt:lpstr>8.Эффективность</vt:lpstr>
      <vt:lpstr>9.Точка безубыточности</vt:lpstr>
      <vt:lpstr>график</vt:lpstr>
      <vt:lpstr>'6.ОПУ'!Заголовки_для_печати</vt:lpstr>
      <vt:lpstr>'7.CF'!Заголовки_для_печати</vt:lpstr>
      <vt:lpstr>'2.Персонал'!Область_печати</vt:lpstr>
      <vt:lpstr>'7.CF'!Область_печати</vt:lpstr>
      <vt:lpstr>'9.Точка безубыточности'!Область_печати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2011-10-19T04:03:06Z</cp:lastPrinted>
  <dcterms:created xsi:type="dcterms:W3CDTF">1996-10-08T23:32:33Z</dcterms:created>
  <dcterms:modified xsi:type="dcterms:W3CDTF">2023-06-02T18:54:15Z</dcterms:modified>
</cp:coreProperties>
</file>