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ин Модель" sheetId="1" r:id="rId4"/>
    <sheet state="visible" name="OPEX" sheetId="2" r:id="rId5"/>
    <sheet state="visible" name="Требуемые вложения" sheetId="3" r:id="rId6"/>
  </sheets>
  <definedNames/>
  <calcPr/>
</workbook>
</file>

<file path=xl/sharedStrings.xml><?xml version="1.0" encoding="utf-8"?>
<sst xmlns="http://schemas.openxmlformats.org/spreadsheetml/2006/main" count="86" uniqueCount="71">
  <si>
    <t>Статьи</t>
  </si>
  <si>
    <t>Показатели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</si>
  <si>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</si>
  <si>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</si>
  <si>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</si>
  <si>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</si>
  <si>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</si>
  <si>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</si>
  <si>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</si>
  <si>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</si>
  <si>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</si>
  <si>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</si>
  <si>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</si>
  <si>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</si>
  <si>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Доходы</t>
  </si>
  <si>
    <t>Продажи (кв.м)</t>
  </si>
  <si>
    <t>Средняя цена продажи (за 1 кв.м)</t>
  </si>
  <si>
    <t>Выручка</t>
  </si>
  <si>
    <t>Прямые расходы</t>
  </si>
  <si>
    <t>Себестоимость продукции (KPI рабочих)</t>
  </si>
  <si>
    <t>Затраты на производство (материалы)</t>
  </si>
  <si>
    <t>Фиксированные производственные затраты</t>
  </si>
  <si>
    <t>Операционные расходы</t>
  </si>
  <si>
    <t>ФОТ</t>
  </si>
  <si>
    <t>Маркетинговые расходы</t>
  </si>
  <si>
    <t>Административные расходы</t>
  </si>
  <si>
    <t>Показатели прибыльности</t>
  </si>
  <si>
    <t>Валовая прибыль</t>
  </si>
  <si>
    <t>Операционная прибыль</t>
  </si>
  <si>
    <t>Чистая прибыль</t>
  </si>
  <si>
    <t>Оборотные активы и обязательства</t>
  </si>
  <si>
    <t>Прибыль инвестора</t>
  </si>
  <si>
    <t>Кумулятивная сумма прибыли инвестора</t>
  </si>
  <si>
    <t>Прогноз продаж на 6 месяцев</t>
  </si>
  <si>
    <t>Предполагаемый рост объема продаж в процентах</t>
  </si>
  <si>
    <t>Сумма</t>
  </si>
  <si>
    <t>Производственные расходы</t>
  </si>
  <si>
    <t>Технологи</t>
  </si>
  <si>
    <t>Аренда</t>
  </si>
  <si>
    <t>Охрана</t>
  </si>
  <si>
    <t>Электричество</t>
  </si>
  <si>
    <t>ОП</t>
  </si>
  <si>
    <t>Транспортные расходы</t>
  </si>
  <si>
    <t>РОП</t>
  </si>
  <si>
    <t>Питание</t>
  </si>
  <si>
    <t>ОМ</t>
  </si>
  <si>
    <t>Наименование</t>
  </si>
  <si>
    <t>Ед. изм.</t>
  </si>
  <si>
    <t>Кол-во</t>
  </si>
  <si>
    <t>Стоимость за ед</t>
  </si>
  <si>
    <t>Обоснование</t>
  </si>
  <si>
    <t>Вибростол</t>
  </si>
  <si>
    <t>шт</t>
  </si>
  <si>
    <t>Бетономешалка</t>
  </si>
  <si>
    <t>Стол для клейки панелей</t>
  </si>
  <si>
    <t>Дозатор бетона</t>
  </si>
  <si>
    <t>Формы термопанелей</t>
  </si>
  <si>
    <t>кв.м</t>
  </si>
  <si>
    <t>Расходные материалы</t>
  </si>
  <si>
    <t>комплект</t>
  </si>
  <si>
    <t>ФОТ ОП</t>
  </si>
  <si>
    <t>месяц</t>
  </si>
  <si>
    <t>Рекламный бюджет</t>
  </si>
  <si>
    <t>Формы новых изделий</t>
  </si>
  <si>
    <t>ФОТ Технологи</t>
  </si>
  <si>
    <t>Сырье</t>
  </si>
  <si>
    <t>Аренда базы</t>
  </si>
  <si>
    <t>Итоговая сумма</t>
  </si>
  <si>
    <t>Сумма вложений</t>
  </si>
  <si>
    <t>Доля от прибыли инвестору</t>
  </si>
  <si>
    <t>Срок окупаемости инвестиций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</si>
</sst>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т. -419]#,##0"/>
    <numFmt numFmtId="165" formatCode="0.0%"/>
  </numFmts>
  <fonts count="5">
    <font>
      <sz val="10.0"/>
      <color rgb="FF000000"/>
      <name val="Arial"/>
      <scheme val="minor"/>
    </font>
    <font>
      <b/>
      <sz val="10.0"/>
      <color theme="1"/>
      <name val="Arial"/>
      <scheme val="minor"/>
    </font>
    <font>
      <color theme="1"/>
      <name val="Arial"/>
      <scheme val="minor"/>
    </font>
    <font/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000000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2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readingOrder="0"/>
    </xf>
    <xf borderId="3" fillId="0" fontId="2" numFmtId="3" xfId="0" applyAlignment="1" applyBorder="1" applyFont="1" applyNumberFormat="1">
      <alignment horizontal="center" readingOrder="0"/>
    </xf>
    <xf borderId="1" fillId="0" fontId="2" numFmtId="3" xfId="0" applyAlignment="1" applyBorder="1" applyFont="1" applyNumberFormat="1">
      <alignment horizontal="center"/>
    </xf>
    <xf borderId="4" fillId="0" fontId="3" numFmtId="0" xfId="0" applyBorder="1" applyFont="1"/>
    <xf borderId="1" fillId="0" fontId="2" numFmtId="3" xfId="0" applyAlignment="1" applyBorder="1" applyFont="1" applyNumberFormat="1">
      <alignment horizontal="center" readingOrder="0"/>
    </xf>
    <xf borderId="5" fillId="0" fontId="3" numFmtId="0" xfId="0" applyBorder="1" applyFont="1"/>
    <xf borderId="3" fillId="0" fontId="2" numFmtId="164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/>
    </xf>
    <xf borderId="3" fillId="0" fontId="2" numFmtId="164" xfId="0" applyAlignment="1" applyBorder="1" applyFont="1" applyNumberFormat="1">
      <alignment horizontal="center" readingOrder="0"/>
    </xf>
    <xf borderId="1" fillId="0" fontId="2" numFmtId="164" xfId="0" applyAlignment="1" applyBorder="1" applyFont="1" applyNumberFormat="1">
      <alignment horizontal="center" readingOrder="0"/>
    </xf>
    <xf borderId="0" fillId="0" fontId="2" numFmtId="3" xfId="0" applyAlignment="1" applyFont="1" applyNumberFormat="1">
      <alignment horizontal="center"/>
    </xf>
    <xf borderId="1" fillId="0" fontId="2" numFmtId="0" xfId="0" applyBorder="1" applyFont="1"/>
    <xf borderId="6" fillId="0" fontId="2" numFmtId="0" xfId="0" applyBorder="1" applyFont="1"/>
    <xf borderId="1" fillId="0" fontId="2" numFmtId="0" xfId="0" applyAlignment="1" applyBorder="1" applyFont="1">
      <alignment horizontal="center" readingOrder="0" vertical="center"/>
    </xf>
    <xf borderId="3" fillId="0" fontId="2" numFmtId="9" xfId="0" applyAlignment="1" applyBorder="1" applyFont="1" applyNumberFormat="1">
      <alignment horizontal="center" readingOrder="0"/>
    </xf>
    <xf borderId="1" fillId="0" fontId="2" numFmtId="9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 readingOrder="0" vertical="center"/>
    </xf>
    <xf borderId="0" fillId="0" fontId="2" numFmtId="4" xfId="0" applyAlignment="1" applyFont="1" applyNumberFormat="1">
      <alignment readingOrder="0"/>
    </xf>
    <xf borderId="0" fillId="0" fontId="2" numFmtId="4" xfId="0" applyFont="1" applyNumberFormat="1"/>
    <xf borderId="7" fillId="0" fontId="2" numFmtId="0" xfId="0" applyAlignment="1" applyBorder="1" applyFont="1">
      <alignment horizontal="left" readingOrder="0" shrinkToFit="0" vertical="center" wrapText="0"/>
    </xf>
    <xf borderId="8" fillId="0" fontId="2" numFmtId="0" xfId="0" applyAlignment="1" applyBorder="1" applyFont="1">
      <alignment horizontal="left" readingOrder="0"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10" fillId="0" fontId="2" numFmtId="164" xfId="0" applyAlignment="1" applyBorder="1" applyFont="1" applyNumberFormat="1">
      <alignment readingOrder="0" shrinkToFit="0" vertical="center" wrapText="0"/>
    </xf>
    <xf borderId="11" fillId="0" fontId="2" numFmtId="0" xfId="0" applyAlignment="1" applyBorder="1" applyFont="1">
      <alignment readingOrder="0" shrinkToFit="0" vertical="center" wrapText="0"/>
    </xf>
    <xf borderId="12" fillId="0" fontId="2" numFmtId="164" xfId="0" applyAlignment="1" applyBorder="1" applyFont="1" applyNumberFormat="1">
      <alignment readingOrder="0" shrinkToFit="0" vertical="center" wrapText="0"/>
    </xf>
    <xf borderId="13" fillId="0" fontId="2" numFmtId="0" xfId="0" applyAlignment="1" applyBorder="1" applyFont="1">
      <alignment readingOrder="0" shrinkToFit="0" vertical="center" wrapText="0"/>
    </xf>
    <xf borderId="14" fillId="0" fontId="2" numFmtId="164" xfId="0" applyAlignment="1" applyBorder="1" applyFont="1" applyNumberFormat="1">
      <alignment readingOrder="0" shrinkToFit="0" vertical="center" wrapText="0"/>
    </xf>
    <xf borderId="15" fillId="0" fontId="2" numFmtId="0" xfId="0" applyAlignment="1" applyBorder="1" applyFont="1">
      <alignment readingOrder="0" shrinkToFit="0" vertical="center" wrapText="0"/>
    </xf>
    <xf borderId="16" fillId="0" fontId="2" numFmtId="164" xfId="0" applyAlignment="1" applyBorder="1" applyFont="1" applyNumberFormat="1">
      <alignment readingOrder="0" shrinkToFit="0" vertical="center" wrapText="0"/>
    </xf>
    <xf borderId="17" fillId="0" fontId="2" numFmtId="0" xfId="0" applyAlignment="1" applyBorder="1" applyFont="1">
      <alignment horizontal="left" readingOrder="0" shrinkToFit="0" vertical="center" wrapText="0"/>
    </xf>
    <xf borderId="8" fillId="0" fontId="2" numFmtId="0" xfId="0" applyAlignment="1" applyBorder="1" applyFont="1">
      <alignment horizontal="left" readingOrder="0" shrinkToFit="0" vertical="center" wrapText="0"/>
    </xf>
    <xf borderId="18" fillId="0" fontId="2" numFmtId="0" xfId="0" applyAlignment="1" applyBorder="1" applyFont="1">
      <alignment readingOrder="0" shrinkToFit="0" vertical="center" wrapText="0"/>
    </xf>
    <xf borderId="18" fillId="0" fontId="2" numFmtId="164" xfId="0" applyAlignment="1" applyBorder="1" applyFont="1" applyNumberFormat="1">
      <alignment readingOrder="0" shrinkToFit="0" vertical="center" wrapText="0"/>
    </xf>
    <xf borderId="18" fillId="0" fontId="2" numFmtId="164" xfId="0" applyAlignment="1" applyBorder="1" applyFont="1" applyNumberFormat="1">
      <alignment shrinkToFit="0" vertical="center" wrapText="0"/>
    </xf>
    <xf borderId="19" fillId="0" fontId="2" numFmtId="0" xfId="0" applyAlignment="1" applyBorder="1" applyFont="1">
      <alignment readingOrder="0" shrinkToFit="0" vertical="center" wrapText="0"/>
    </xf>
    <xf borderId="19" fillId="0" fontId="2" numFmtId="164" xfId="0" applyAlignment="1" applyBorder="1" applyFont="1" applyNumberFormat="1">
      <alignment readingOrder="0" shrinkToFit="0" vertical="center" wrapText="0"/>
    </xf>
    <xf borderId="19" fillId="0" fontId="2" numFmtId="164" xfId="0" applyAlignment="1" applyBorder="1" applyFont="1" applyNumberFormat="1">
      <alignment shrinkToFit="0" vertical="center" wrapText="0"/>
    </xf>
    <xf borderId="19" fillId="0" fontId="2" numFmtId="49" xfId="0" applyAlignment="1" applyBorder="1" applyFont="1" applyNumberFormat="1">
      <alignment readingOrder="0" shrinkToFit="0" vertical="center" wrapText="0"/>
    </xf>
    <xf borderId="20" fillId="0" fontId="4" numFmtId="0" xfId="0" applyAlignment="1" applyBorder="1" applyFont="1">
      <alignment readingOrder="0" shrinkToFit="0" vertical="center" wrapText="0"/>
    </xf>
    <xf borderId="21" fillId="0" fontId="4" numFmtId="49" xfId="0" applyAlignment="1" applyBorder="1" applyFont="1" applyNumberFormat="1">
      <alignment shrinkToFit="0" vertical="center" wrapText="0"/>
    </xf>
    <xf borderId="21" fillId="0" fontId="4" numFmtId="0" xfId="0" applyAlignment="1" applyBorder="1" applyFont="1">
      <alignment shrinkToFit="0" vertical="center" wrapText="0"/>
    </xf>
    <xf borderId="21" fillId="0" fontId="4" numFmtId="164" xfId="0" applyAlignment="1" applyBorder="1" applyFont="1" applyNumberFormat="1">
      <alignment shrinkToFit="0" vertical="center" wrapText="0"/>
    </xf>
    <xf borderId="22" fillId="0" fontId="4" numFmtId="0" xfId="0" applyAlignment="1" applyBorder="1" applyFont="1">
      <alignment shrinkToFit="0" vertical="center" wrapText="0"/>
    </xf>
    <xf borderId="13" fillId="0" fontId="4" numFmtId="0" xfId="0" applyAlignment="1" applyBorder="1" applyFont="1">
      <alignment readingOrder="0" shrinkToFit="0" vertical="center" wrapText="0"/>
    </xf>
    <xf borderId="23" fillId="0" fontId="4" numFmtId="49" xfId="0" applyAlignment="1" applyBorder="1" applyFont="1" applyNumberFormat="1">
      <alignment shrinkToFit="0" vertical="center" wrapText="0"/>
    </xf>
    <xf borderId="23" fillId="0" fontId="4" numFmtId="0" xfId="0" applyAlignment="1" applyBorder="1" applyFont="1">
      <alignment shrinkToFit="0" vertical="center" wrapText="0"/>
    </xf>
    <xf borderId="23" fillId="0" fontId="4" numFmtId="164" xfId="0" applyAlignment="1" applyBorder="1" applyFont="1" applyNumberFormat="1">
      <alignment shrinkToFit="0" vertical="center" wrapText="0"/>
    </xf>
    <xf borderId="23" fillId="0" fontId="4" numFmtId="164" xfId="0" applyAlignment="1" applyBorder="1" applyFont="1" applyNumberFormat="1">
      <alignment readingOrder="0" shrinkToFit="0" vertical="center" wrapText="0"/>
    </xf>
    <xf borderId="14" fillId="0" fontId="4" numFmtId="0" xfId="0" applyAlignment="1" applyBorder="1" applyFont="1">
      <alignment shrinkToFit="0" vertical="center" wrapText="0"/>
    </xf>
    <xf borderId="0" fillId="0" fontId="4" numFmtId="0" xfId="0" applyAlignment="1" applyFont="1">
      <alignment readingOrder="0"/>
    </xf>
    <xf borderId="0" fillId="0" fontId="4" numFmtId="165" xfId="0" applyFont="1" applyNumberFormat="1"/>
    <xf borderId="0" fillId="0" fontId="2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3">
    <tableStyle count="3" pivot="0" name="OPEX-style">
      <tableStyleElement dxfId="1" type="headerRow"/>
      <tableStyleElement dxfId="2" type="firstRowStripe"/>
      <tableStyleElement dxfId="3" type="secondRowStripe"/>
    </tableStyle>
    <tableStyle count="3" pivot="0" name="OPEX-style 2">
      <tableStyleElement dxfId="1" type="headerRow"/>
      <tableStyleElement dxfId="2" type="firstRowStripe"/>
      <tableStyleElement dxfId="3" type="secondRowStripe"/>
    </tableStyle>
    <tableStyle count="3" pivot="0" name="Требуемые вложения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B6" displayName="ФОТ" name="ФОТ" id="1">
  <tableColumns count="2">
    <tableColumn name="ФОТ" id="1"/>
    <tableColumn name="Сумма" id="2"/>
  </tableColumns>
  <tableStyleInfo name="OPEX-style" showColumnStripes="0" showFirstColumn="1" showLastColumn="1" showRowStripes="1"/>
</table>
</file>

<file path=xl/tables/table2.xml><?xml version="1.0" encoding="utf-8"?>
<table xmlns="http://schemas.openxmlformats.org/spreadsheetml/2006/main" ref="D1:E5" displayName="Производственные_расходы" name="Производственные_расходы" id="2">
  <tableColumns count="2">
    <tableColumn name="Производственные расходы" id="1"/>
    <tableColumn name="Сумма" id="2"/>
  </tableColumns>
  <tableStyleInfo name="OPEX-style 2" showColumnStripes="0" showFirstColumn="1" showLastColumn="1" showRowStripes="1"/>
</table>
</file>

<file path=xl/tables/table3.xml><?xml version="1.0" encoding="utf-8"?>
<table xmlns="http://schemas.openxmlformats.org/spreadsheetml/2006/main" ref="A1:F17" displayName="Вложения" name="Вложения" id="3">
  <tableColumns count="6">
    <tableColumn name="Наименование" id="1"/>
    <tableColumn name="Ед. изм." id="2"/>
    <tableColumn name="Кол-во" id="3"/>
    <tableColumn name="Стоимость за ед" id="4"/>
    <tableColumn name="Сумма" id="5"/>
    <tableColumn name="Обоснование" id="6"/>
  </tableColumns>
  <tableStyleInfo name="Требуемые вложения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5"/>
    <col customWidth="1" min="2" max="2" width="44.75"/>
    <col customWidth="1" min="14" max="15" width="12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/>
    </row>
    <row r="2">
      <c r="A2" s="3" t="s">
        <v>14</v>
      </c>
      <c r="B2" s="4" t="s">
        <v>15</v>
      </c>
      <c r="C2" s="5">
        <v>6000.0</v>
      </c>
      <c r="D2" s="6">
        <f t="shared" ref="D2:N2" si="1">C2*(1+D21)</f>
        <v>6000</v>
      </c>
      <c r="E2" s="6">
        <f t="shared" si="1"/>
        <v>4200</v>
      </c>
      <c r="F2" s="6">
        <f t="shared" si="1"/>
        <v>4200</v>
      </c>
      <c r="G2" s="6">
        <f t="shared" si="1"/>
        <v>5040</v>
      </c>
      <c r="H2" s="6">
        <f t="shared" si="1"/>
        <v>6048</v>
      </c>
      <c r="I2" s="6">
        <f t="shared" si="1"/>
        <v>7862.4</v>
      </c>
      <c r="J2" s="6">
        <f t="shared" si="1"/>
        <v>8648.64</v>
      </c>
      <c r="K2" s="6">
        <f t="shared" si="1"/>
        <v>10378.368</v>
      </c>
      <c r="L2" s="6">
        <f t="shared" si="1"/>
        <v>12454.0416</v>
      </c>
      <c r="M2" s="6">
        <f t="shared" si="1"/>
        <v>12454.0416</v>
      </c>
      <c r="N2" s="6">
        <f t="shared" si="1"/>
        <v>12454.0416</v>
      </c>
      <c r="O2" s="2"/>
    </row>
    <row r="3">
      <c r="A3" s="7"/>
      <c r="B3" s="4" t="s">
        <v>16</v>
      </c>
      <c r="C3" s="5">
        <v>8500.0</v>
      </c>
      <c r="D3" s="8">
        <v>8500.0</v>
      </c>
      <c r="E3" s="8">
        <v>7500.0</v>
      </c>
      <c r="F3" s="8">
        <v>7500.0</v>
      </c>
      <c r="G3" s="8">
        <v>8500.0</v>
      </c>
      <c r="H3" s="8">
        <v>8500.0</v>
      </c>
      <c r="I3" s="8">
        <v>8500.0</v>
      </c>
      <c r="J3" s="8">
        <v>8500.0</v>
      </c>
      <c r="K3" s="8">
        <v>8500.0</v>
      </c>
      <c r="L3" s="8">
        <v>8500.0</v>
      </c>
      <c r="M3" s="8">
        <v>8500.0</v>
      </c>
      <c r="N3" s="8">
        <v>8500.0</v>
      </c>
      <c r="O3" s="2"/>
    </row>
    <row r="4">
      <c r="A4" s="9"/>
      <c r="B4" s="4" t="s">
        <v>17</v>
      </c>
      <c r="C4" s="10">
        <f t="shared" ref="C4:N4" si="2">C2*C3</f>
        <v>51000000</v>
      </c>
      <c r="D4" s="11">
        <f t="shared" si="2"/>
        <v>51000000</v>
      </c>
      <c r="E4" s="11">
        <f t="shared" si="2"/>
        <v>31500000</v>
      </c>
      <c r="F4" s="11">
        <f t="shared" si="2"/>
        <v>31500000</v>
      </c>
      <c r="G4" s="11">
        <f t="shared" si="2"/>
        <v>42840000</v>
      </c>
      <c r="H4" s="11">
        <f t="shared" si="2"/>
        <v>51408000</v>
      </c>
      <c r="I4" s="11">
        <f t="shared" si="2"/>
        <v>66830400</v>
      </c>
      <c r="J4" s="11">
        <f t="shared" si="2"/>
        <v>73513440</v>
      </c>
      <c r="K4" s="11">
        <f t="shared" si="2"/>
        <v>88216128</v>
      </c>
      <c r="L4" s="11">
        <f t="shared" si="2"/>
        <v>105859353.6</v>
      </c>
      <c r="M4" s="11">
        <f t="shared" si="2"/>
        <v>105859353.6</v>
      </c>
      <c r="N4" s="11">
        <f t="shared" si="2"/>
        <v>105859353.6</v>
      </c>
      <c r="O4" s="2"/>
    </row>
    <row r="5">
      <c r="A5" s="12"/>
      <c r="B5" s="13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"/>
    </row>
    <row r="6">
      <c r="A6" s="3" t="s">
        <v>18</v>
      </c>
      <c r="B6" s="4" t="s">
        <v>19</v>
      </c>
      <c r="C6" s="14">
        <v>4253.0</v>
      </c>
      <c r="D6" s="15">
        <v>4253.0</v>
      </c>
      <c r="E6" s="15">
        <v>4253.0</v>
      </c>
      <c r="F6" s="15">
        <v>4253.0</v>
      </c>
      <c r="G6" s="15">
        <v>4253.0</v>
      </c>
      <c r="H6" s="15">
        <v>4253.0</v>
      </c>
      <c r="I6" s="15">
        <v>4253.0</v>
      </c>
      <c r="J6" s="15">
        <v>4253.0</v>
      </c>
      <c r="K6" s="15">
        <v>4253.0</v>
      </c>
      <c r="L6" s="15">
        <v>4253.0</v>
      </c>
      <c r="M6" s="15">
        <v>4253.0</v>
      </c>
      <c r="N6" s="15">
        <v>4253.0</v>
      </c>
      <c r="O6" s="2"/>
    </row>
    <row r="7">
      <c r="A7" s="7"/>
      <c r="B7" s="4" t="s">
        <v>20</v>
      </c>
      <c r="C7" s="14">
        <v>3253.0</v>
      </c>
      <c r="D7" s="15">
        <v>3253.0</v>
      </c>
      <c r="E7" s="15">
        <v>3253.0</v>
      </c>
      <c r="F7" s="15">
        <v>3253.0</v>
      </c>
      <c r="G7" s="15">
        <v>3253.0</v>
      </c>
      <c r="H7" s="15">
        <v>3253.0</v>
      </c>
      <c r="I7" s="15">
        <v>3253.0</v>
      </c>
      <c r="J7" s="15">
        <v>3253.0</v>
      </c>
      <c r="K7" s="15">
        <v>3253.0</v>
      </c>
      <c r="L7" s="15">
        <v>3253.0</v>
      </c>
      <c r="M7" s="15">
        <v>3253.0</v>
      </c>
      <c r="N7" s="15">
        <v>3253.0</v>
      </c>
      <c r="O7" s="2"/>
    </row>
    <row r="8">
      <c r="A8" s="9"/>
      <c r="B8" s="4" t="s">
        <v>21</v>
      </c>
      <c r="C8" s="14">
        <f>SUM(OPEX!$E2:$E5)</f>
        <v>3520000</v>
      </c>
      <c r="D8" s="15">
        <f>SUM(OPEX!$E2:$E5)</f>
        <v>3520000</v>
      </c>
      <c r="E8" s="15">
        <f>SUM(OPEX!$E2:$E5)</f>
        <v>3520000</v>
      </c>
      <c r="F8" s="15">
        <f>SUM(OPEX!$E2:$E5)</f>
        <v>3520000</v>
      </c>
      <c r="G8" s="15">
        <f>SUM(OPEX!$E2:$E5)</f>
        <v>3520000</v>
      </c>
      <c r="H8" s="15">
        <f>SUM(OPEX!$E2:$E5)</f>
        <v>3520000</v>
      </c>
      <c r="I8" s="15">
        <f>SUM(OPEX!$E2:$E5)</f>
        <v>3520000</v>
      </c>
      <c r="J8" s="15">
        <f>SUM(OPEX!$E2:$E5)</f>
        <v>3520000</v>
      </c>
      <c r="K8" s="15">
        <f>SUM(OPEX!$E2:$E5)</f>
        <v>3520000</v>
      </c>
      <c r="L8" s="15">
        <f>SUM(OPEX!$E2:$E5)</f>
        <v>3520000</v>
      </c>
      <c r="M8" s="15">
        <f>SUM(OPEX!$E2:$E5)</f>
        <v>3520000</v>
      </c>
      <c r="N8" s="15">
        <f>SUM(OPEX!$E2:$E5)</f>
        <v>3520000</v>
      </c>
      <c r="O8" s="2"/>
    </row>
    <row r="9">
      <c r="A9" s="12"/>
      <c r="B9" s="13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</row>
    <row r="10">
      <c r="A10" s="3" t="s">
        <v>22</v>
      </c>
      <c r="B10" s="4" t="s">
        <v>23</v>
      </c>
      <c r="C10" s="10">
        <f>SUM(OPEX!$B2:$B6)</f>
        <v>4100000</v>
      </c>
      <c r="D10" s="11">
        <f>SUM(OPEX!$B2:$B6)</f>
        <v>4100000</v>
      </c>
      <c r="E10" s="11">
        <f>SUM(OPEX!$B2:$B6)</f>
        <v>4100000</v>
      </c>
      <c r="F10" s="11">
        <f>SUM(OPEX!$B2:$B6)</f>
        <v>4100000</v>
      </c>
      <c r="G10" s="11">
        <f>SUM(OPEX!$B2:$B6)</f>
        <v>4100000</v>
      </c>
      <c r="H10" s="11">
        <f>SUM(OPEX!$B2:$B6)</f>
        <v>4100000</v>
      </c>
      <c r="I10" s="11">
        <f>SUM(OPEX!$B2:$B6)</f>
        <v>4100000</v>
      </c>
      <c r="J10" s="11">
        <f>SUM(OPEX!$B2:$B6)</f>
        <v>4100000</v>
      </c>
      <c r="K10" s="11">
        <f>SUM(OPEX!$B2:$B6)</f>
        <v>4100000</v>
      </c>
      <c r="L10" s="11">
        <f>SUM(OPEX!$B2:$B6)</f>
        <v>4100000</v>
      </c>
      <c r="M10" s="11">
        <f>SUM(OPEX!$B2:$B6)</f>
        <v>4100000</v>
      </c>
      <c r="N10" s="11">
        <f>SUM(OPEX!$B2:$B6)*3</f>
        <v>12300000</v>
      </c>
      <c r="O10" s="2"/>
    </row>
    <row r="11">
      <c r="A11" s="7"/>
      <c r="B11" s="4" t="s">
        <v>24</v>
      </c>
      <c r="C11" s="14">
        <v>500000.0</v>
      </c>
      <c r="D11" s="15">
        <v>500000.0</v>
      </c>
      <c r="E11" s="15">
        <v>500000.0</v>
      </c>
      <c r="F11" s="15">
        <v>500000.0</v>
      </c>
      <c r="G11" s="15">
        <v>500000.0</v>
      </c>
      <c r="H11" s="15">
        <v>500000.0</v>
      </c>
      <c r="I11" s="15">
        <v>500000.0</v>
      </c>
      <c r="J11" s="15">
        <v>500000.0</v>
      </c>
      <c r="K11" s="15">
        <v>500000.0</v>
      </c>
      <c r="L11" s="15">
        <v>500000.0</v>
      </c>
      <c r="M11" s="15">
        <v>500000.0</v>
      </c>
      <c r="N11" s="15">
        <v>500000.0</v>
      </c>
      <c r="O11" s="2"/>
    </row>
    <row r="12">
      <c r="A12" s="9"/>
      <c r="B12" s="4" t="s">
        <v>25</v>
      </c>
      <c r="C12" s="14">
        <v>400000.0</v>
      </c>
      <c r="D12" s="15">
        <v>400000.0</v>
      </c>
      <c r="E12" s="15">
        <v>400000.0</v>
      </c>
      <c r="F12" s="15">
        <v>400000.0</v>
      </c>
      <c r="G12" s="15">
        <v>400000.0</v>
      </c>
      <c r="H12" s="15">
        <v>400000.0</v>
      </c>
      <c r="I12" s="15">
        <v>400000.0</v>
      </c>
      <c r="J12" s="15">
        <v>400000.0</v>
      </c>
      <c r="K12" s="15">
        <v>400000.0</v>
      </c>
      <c r="L12" s="15">
        <v>400000.0</v>
      </c>
      <c r="M12" s="15">
        <v>400000.0</v>
      </c>
      <c r="N12" s="15">
        <v>400000.0</v>
      </c>
      <c r="O12" s="2"/>
    </row>
    <row r="13">
      <c r="A13" s="12"/>
      <c r="B13" s="13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"/>
    </row>
    <row r="14">
      <c r="A14" s="3" t="s">
        <v>26</v>
      </c>
      <c r="B14" s="4" t="s">
        <v>27</v>
      </c>
      <c r="C14" s="10">
        <f t="shared" ref="C14:N14" si="3">C4-C6*C2-C8</f>
        <v>21962000</v>
      </c>
      <c r="D14" s="11">
        <f t="shared" si="3"/>
        <v>21962000</v>
      </c>
      <c r="E14" s="11">
        <f t="shared" si="3"/>
        <v>10117400</v>
      </c>
      <c r="F14" s="11">
        <f t="shared" si="3"/>
        <v>10117400</v>
      </c>
      <c r="G14" s="11">
        <f t="shared" si="3"/>
        <v>17884880</v>
      </c>
      <c r="H14" s="11">
        <f t="shared" si="3"/>
        <v>22165856</v>
      </c>
      <c r="I14" s="11">
        <f t="shared" si="3"/>
        <v>29871612.8</v>
      </c>
      <c r="J14" s="11">
        <f t="shared" si="3"/>
        <v>33210774.08</v>
      </c>
      <c r="K14" s="11">
        <f t="shared" si="3"/>
        <v>40556928.9</v>
      </c>
      <c r="L14" s="11">
        <f t="shared" si="3"/>
        <v>49372314.68</v>
      </c>
      <c r="M14" s="11">
        <f t="shared" si="3"/>
        <v>49372314.68</v>
      </c>
      <c r="N14" s="11">
        <f t="shared" si="3"/>
        <v>49372314.68</v>
      </c>
      <c r="O14" s="2"/>
    </row>
    <row r="15">
      <c r="A15" s="7"/>
      <c r="B15" s="4" t="s">
        <v>28</v>
      </c>
      <c r="C15" s="10">
        <f t="shared" ref="C15:N15" si="4">C14-SUM(C10:C12)</f>
        <v>16962000</v>
      </c>
      <c r="D15" s="11">
        <f t="shared" si="4"/>
        <v>16962000</v>
      </c>
      <c r="E15" s="11">
        <f t="shared" si="4"/>
        <v>5117400</v>
      </c>
      <c r="F15" s="11">
        <f t="shared" si="4"/>
        <v>5117400</v>
      </c>
      <c r="G15" s="11">
        <f t="shared" si="4"/>
        <v>12884880</v>
      </c>
      <c r="H15" s="11">
        <f t="shared" si="4"/>
        <v>17165856</v>
      </c>
      <c r="I15" s="11">
        <f t="shared" si="4"/>
        <v>24871612.8</v>
      </c>
      <c r="J15" s="11">
        <f t="shared" si="4"/>
        <v>28210774.08</v>
      </c>
      <c r="K15" s="11">
        <f t="shared" si="4"/>
        <v>35556928.9</v>
      </c>
      <c r="L15" s="11">
        <f t="shared" si="4"/>
        <v>44372314.68</v>
      </c>
      <c r="M15" s="11">
        <f t="shared" si="4"/>
        <v>44372314.68</v>
      </c>
      <c r="N15" s="11">
        <f t="shared" si="4"/>
        <v>36172314.68</v>
      </c>
      <c r="O15" s="2"/>
    </row>
    <row r="16">
      <c r="A16" s="9"/>
      <c r="B16" s="4" t="s">
        <v>29</v>
      </c>
      <c r="C16" s="10">
        <f t="shared" ref="C16:N16" si="5">IF(C15&lt;0,C15,C15-C15*0.04)
</f>
        <v>16283520</v>
      </c>
      <c r="D16" s="11">
        <f t="shared" si="5"/>
        <v>16283520</v>
      </c>
      <c r="E16" s="11">
        <f t="shared" si="5"/>
        <v>4912704</v>
      </c>
      <c r="F16" s="11">
        <f t="shared" si="5"/>
        <v>4912704</v>
      </c>
      <c r="G16" s="11">
        <f t="shared" si="5"/>
        <v>12369484.8</v>
      </c>
      <c r="H16" s="11">
        <f t="shared" si="5"/>
        <v>16479221.76</v>
      </c>
      <c r="I16" s="11">
        <f t="shared" si="5"/>
        <v>23876748.29</v>
      </c>
      <c r="J16" s="11">
        <f t="shared" si="5"/>
        <v>27082343.12</v>
      </c>
      <c r="K16" s="11">
        <f t="shared" si="5"/>
        <v>34134651.74</v>
      </c>
      <c r="L16" s="11">
        <f t="shared" si="5"/>
        <v>42597422.09</v>
      </c>
      <c r="M16" s="11">
        <f t="shared" si="5"/>
        <v>42597422.09</v>
      </c>
      <c r="N16" s="11">
        <f t="shared" si="5"/>
        <v>34725422.09</v>
      </c>
      <c r="O16" s="16"/>
    </row>
    <row r="17">
      <c r="A17" s="12"/>
      <c r="B17" s="13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"/>
    </row>
    <row r="18">
      <c r="A18" s="3" t="s">
        <v>30</v>
      </c>
      <c r="B18" s="4" t="s">
        <v>31</v>
      </c>
      <c r="C18" s="10">
        <f>C16*'Требуемые вложения'!$B$20</f>
        <v>4048948.197</v>
      </c>
      <c r="D18" s="10">
        <f>D16*'Требуемые вложения'!$B$20</f>
        <v>4048948.197</v>
      </c>
      <c r="E18" s="10">
        <f>E16*'Требуемые вложения'!$B$20</f>
        <v>1221559.221</v>
      </c>
      <c r="F18" s="10">
        <f>F16*'Требуемые вложения'!$B$20</f>
        <v>1221559.221</v>
      </c>
      <c r="G18" s="10">
        <f>G16*'Требуемые вложения'!$B$20</f>
        <v>3075711.098</v>
      </c>
      <c r="H18" s="10">
        <f>H16*'Требуемые вложения'!$B$20</f>
        <v>4097610.052</v>
      </c>
      <c r="I18" s="10">
        <f>I16*'Требуемые вложения'!$B$20</f>
        <v>5937028.169</v>
      </c>
      <c r="J18" s="10">
        <f>J16*'Требуемые вложения'!$B$20</f>
        <v>6734109.354</v>
      </c>
      <c r="K18" s="10">
        <f>K16*'Требуемые вложения'!$B$20</f>
        <v>8487687.959</v>
      </c>
      <c r="L18" s="10">
        <f>L16*'Требуемые вложения'!$B$20</f>
        <v>10591982.28</v>
      </c>
      <c r="M18" s="10">
        <f>M16*'Требуемые вложения'!$B$20</f>
        <v>10591982.28</v>
      </c>
      <c r="N18" s="10">
        <f>N16*'Требуемые вложения'!$B$20</f>
        <v>8634584.854</v>
      </c>
      <c r="O18" s="16"/>
    </row>
    <row r="19">
      <c r="A19" s="9"/>
      <c r="B19" s="4" t="s">
        <v>32</v>
      </c>
      <c r="C19" s="10">
        <f>C18</f>
        <v>4048948.197</v>
      </c>
      <c r="D19" s="11">
        <f t="shared" ref="D19:N19" si="6">C19+D18</f>
        <v>8097896.395</v>
      </c>
      <c r="E19" s="11">
        <f t="shared" si="6"/>
        <v>9319455.615</v>
      </c>
      <c r="F19" s="11">
        <f t="shared" si="6"/>
        <v>10541014.84</v>
      </c>
      <c r="G19" s="11">
        <f t="shared" si="6"/>
        <v>13616725.93</v>
      </c>
      <c r="H19" s="11">
        <f t="shared" si="6"/>
        <v>17714335.99</v>
      </c>
      <c r="I19" s="11">
        <f t="shared" si="6"/>
        <v>23651364.16</v>
      </c>
      <c r="J19" s="11">
        <f t="shared" si="6"/>
        <v>30385473.51</v>
      </c>
      <c r="K19" s="11">
        <f t="shared" si="6"/>
        <v>38873161.47</v>
      </c>
      <c r="L19" s="11">
        <f t="shared" si="6"/>
        <v>49465143.75</v>
      </c>
      <c r="M19" s="11">
        <f t="shared" si="6"/>
        <v>60057126.04</v>
      </c>
      <c r="N19" s="11">
        <f t="shared" si="6"/>
        <v>68691710.89</v>
      </c>
      <c r="O19" s="2"/>
    </row>
    <row r="20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"/>
    </row>
    <row r="21">
      <c r="A21" s="19" t="s">
        <v>33</v>
      </c>
      <c r="B21" s="4" t="s">
        <v>34</v>
      </c>
      <c r="C21" s="20">
        <v>0.0</v>
      </c>
      <c r="D21" s="21">
        <v>0.0</v>
      </c>
      <c r="E21" s="21">
        <v>-0.3</v>
      </c>
      <c r="F21" s="21">
        <v>0.0</v>
      </c>
      <c r="G21" s="21">
        <v>0.2</v>
      </c>
      <c r="H21" s="21">
        <v>0.2</v>
      </c>
      <c r="I21" s="21">
        <v>0.3</v>
      </c>
      <c r="J21" s="21">
        <v>0.1</v>
      </c>
      <c r="K21" s="21">
        <v>0.2</v>
      </c>
      <c r="L21" s="21">
        <v>0.2</v>
      </c>
      <c r="M21" s="21">
        <v>0.0</v>
      </c>
      <c r="N21" s="21">
        <v>0.0</v>
      </c>
    </row>
    <row r="23">
      <c r="A23" s="22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>
      <c r="A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8">
      <c r="A28" s="22"/>
    </row>
    <row r="29">
      <c r="A29" s="22"/>
    </row>
  </sheetData>
  <mergeCells count="5">
    <mergeCell ref="A2:A4"/>
    <mergeCell ref="A6:A8"/>
    <mergeCell ref="A10:A12"/>
    <mergeCell ref="A14:A16"/>
    <mergeCell ref="A18:A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25"/>
    <col customWidth="1" min="2" max="2" width="13.38"/>
    <col customWidth="1" min="4" max="4" width="28.0"/>
    <col customWidth="1" min="5" max="5" width="13.38"/>
  </cols>
  <sheetData>
    <row r="1">
      <c r="A1" s="25" t="s">
        <v>23</v>
      </c>
      <c r="B1" s="26" t="s">
        <v>35</v>
      </c>
      <c r="D1" s="25" t="s">
        <v>36</v>
      </c>
      <c r="E1" s="26" t="s">
        <v>35</v>
      </c>
    </row>
    <row r="2">
      <c r="A2" s="27" t="s">
        <v>37</v>
      </c>
      <c r="B2" s="28">
        <v>750000.0</v>
      </c>
      <c r="D2" s="27" t="s">
        <v>38</v>
      </c>
      <c r="E2" s="28">
        <v>3000000.0</v>
      </c>
    </row>
    <row r="3">
      <c r="A3" s="29" t="s">
        <v>39</v>
      </c>
      <c r="B3" s="30">
        <v>400000.0</v>
      </c>
      <c r="D3" s="29" t="s">
        <v>40</v>
      </c>
      <c r="E3" s="30">
        <v>150000.0</v>
      </c>
    </row>
    <row r="4">
      <c r="A4" s="27" t="s">
        <v>41</v>
      </c>
      <c r="B4" s="28">
        <v>1600000.0</v>
      </c>
      <c r="D4" s="27" t="s">
        <v>42</v>
      </c>
      <c r="E4" s="28">
        <v>70000.0</v>
      </c>
    </row>
    <row r="5">
      <c r="A5" s="29" t="s">
        <v>43</v>
      </c>
      <c r="B5" s="30">
        <v>1000000.0</v>
      </c>
      <c r="D5" s="31" t="s">
        <v>44</v>
      </c>
      <c r="E5" s="32">
        <v>300000.0</v>
      </c>
    </row>
    <row r="6">
      <c r="A6" s="33" t="s">
        <v>45</v>
      </c>
      <c r="B6" s="34">
        <v>350000.0</v>
      </c>
    </row>
  </sheetData>
  <dataValidations>
    <dataValidation type="custom" allowBlank="1" showDropDown="1" sqref="E2:E5 B2:B6">
      <formula1>AND(ISNUMBER(B2),(NOT(OR(NOT(ISERROR(DATEVALUE(B2))), AND(ISNUMBER(B2), LEFT(CELL("format", B2))="D")))))</formula1>
    </dataValidation>
  </dataValidations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6.38"/>
    <col customWidth="1" min="2" max="2" width="15.0"/>
    <col customWidth="1" min="4" max="4" width="21.75"/>
    <col customWidth="1" min="6" max="6" width="16.0"/>
  </cols>
  <sheetData>
    <row r="1">
      <c r="A1" s="25" t="s">
        <v>46</v>
      </c>
      <c r="B1" s="35" t="s">
        <v>47</v>
      </c>
      <c r="C1" s="35" t="s">
        <v>48</v>
      </c>
      <c r="D1" s="35" t="s">
        <v>49</v>
      </c>
      <c r="E1" s="35" t="s">
        <v>35</v>
      </c>
      <c r="F1" s="36" t="s">
        <v>50</v>
      </c>
    </row>
    <row r="2">
      <c r="A2" s="27" t="s">
        <v>51</v>
      </c>
      <c r="B2" s="37" t="s">
        <v>52</v>
      </c>
      <c r="C2" s="37">
        <v>6.0</v>
      </c>
      <c r="D2" s="38">
        <v>500000.0</v>
      </c>
      <c r="E2" s="39">
        <f t="shared" ref="E2:E15" si="1">D2*C2</f>
        <v>3000000</v>
      </c>
    </row>
    <row r="3">
      <c r="A3" s="29" t="s">
        <v>53</v>
      </c>
      <c r="B3" s="40" t="s">
        <v>52</v>
      </c>
      <c r="C3" s="40">
        <v>6.0</v>
      </c>
      <c r="D3" s="41">
        <v>500000.0</v>
      </c>
      <c r="E3" s="42">
        <f t="shared" si="1"/>
        <v>3000000</v>
      </c>
    </row>
    <row r="4">
      <c r="A4" s="27" t="s">
        <v>54</v>
      </c>
      <c r="B4" s="37" t="s">
        <v>52</v>
      </c>
      <c r="C4" s="37">
        <v>12.0</v>
      </c>
      <c r="D4" s="38">
        <v>200000.0</v>
      </c>
      <c r="E4" s="39">
        <f t="shared" si="1"/>
        <v>2400000</v>
      </c>
    </row>
    <row r="5">
      <c r="A5" s="29" t="s">
        <v>55</v>
      </c>
      <c r="B5" s="40" t="s">
        <v>52</v>
      </c>
      <c r="C5" s="40">
        <v>3.0</v>
      </c>
      <c r="D5" s="41">
        <v>200000.0</v>
      </c>
      <c r="E5" s="42">
        <f t="shared" si="1"/>
        <v>600000</v>
      </c>
    </row>
    <row r="6">
      <c r="A6" s="27" t="s">
        <v>56</v>
      </c>
      <c r="B6" s="37" t="s">
        <v>57</v>
      </c>
      <c r="C6" s="37">
        <v>200.0</v>
      </c>
      <c r="D6" s="38">
        <v>10000.0</v>
      </c>
      <c r="E6" s="39">
        <f t="shared" si="1"/>
        <v>2000000</v>
      </c>
    </row>
    <row r="7">
      <c r="A7" s="29" t="s">
        <v>58</v>
      </c>
      <c r="B7" s="40" t="s">
        <v>59</v>
      </c>
      <c r="C7" s="40">
        <v>3.0</v>
      </c>
      <c r="D7" s="41">
        <v>700000.0</v>
      </c>
      <c r="E7" s="42">
        <f t="shared" si="1"/>
        <v>2100000</v>
      </c>
    </row>
    <row r="8">
      <c r="A8" s="27" t="s">
        <v>60</v>
      </c>
      <c r="B8" s="37" t="s">
        <v>61</v>
      </c>
      <c r="C8" s="37">
        <v>3.0</v>
      </c>
      <c r="D8" s="38">
        <v>3000000.0</v>
      </c>
      <c r="E8" s="39">
        <f t="shared" si="1"/>
        <v>9000000</v>
      </c>
    </row>
    <row r="9">
      <c r="A9" s="29" t="s">
        <v>62</v>
      </c>
      <c r="B9" s="40" t="s">
        <v>61</v>
      </c>
      <c r="C9" s="40">
        <v>3.0</v>
      </c>
      <c r="D9" s="41">
        <v>500000.0</v>
      </c>
      <c r="E9" s="42">
        <f t="shared" si="1"/>
        <v>1500000</v>
      </c>
    </row>
    <row r="10">
      <c r="A10" s="27" t="s">
        <v>24</v>
      </c>
      <c r="B10" s="37" t="s">
        <v>61</v>
      </c>
      <c r="C10" s="37">
        <v>3.0</v>
      </c>
      <c r="D10" s="38">
        <v>1000000.0</v>
      </c>
      <c r="E10" s="39">
        <f t="shared" si="1"/>
        <v>3000000</v>
      </c>
    </row>
    <row r="11">
      <c r="A11" s="29" t="s">
        <v>63</v>
      </c>
      <c r="B11" s="40" t="s">
        <v>57</v>
      </c>
      <c r="C11" s="40">
        <v>300.0</v>
      </c>
      <c r="D11" s="41">
        <v>10000.0</v>
      </c>
      <c r="E11" s="42">
        <f t="shared" si="1"/>
        <v>3000000</v>
      </c>
    </row>
    <row r="12">
      <c r="A12" s="27" t="s">
        <v>64</v>
      </c>
      <c r="B12" s="37" t="s">
        <v>61</v>
      </c>
      <c r="C12" s="37">
        <v>3.0</v>
      </c>
      <c r="D12" s="38">
        <v>700000.0</v>
      </c>
      <c r="E12" s="39">
        <f t="shared" si="1"/>
        <v>2100000</v>
      </c>
    </row>
    <row r="13">
      <c r="A13" s="29" t="s">
        <v>65</v>
      </c>
      <c r="B13" s="40" t="s">
        <v>57</v>
      </c>
      <c r="C13" s="40">
        <v>5000.0</v>
      </c>
      <c r="D13" s="41">
        <v>3253.0</v>
      </c>
      <c r="E13" s="42">
        <f t="shared" si="1"/>
        <v>16265000</v>
      </c>
    </row>
    <row r="14">
      <c r="A14" s="27" t="s">
        <v>25</v>
      </c>
      <c r="B14" s="37" t="s">
        <v>61</v>
      </c>
      <c r="C14" s="37">
        <v>3.0</v>
      </c>
      <c r="D14" s="38">
        <v>600000.0</v>
      </c>
      <c r="E14" s="39">
        <f t="shared" si="1"/>
        <v>1800000</v>
      </c>
    </row>
    <row r="15">
      <c r="A15" s="29" t="s">
        <v>66</v>
      </c>
      <c r="B15" s="43" t="s">
        <v>61</v>
      </c>
      <c r="C15" s="40">
        <v>3.0</v>
      </c>
      <c r="D15" s="41">
        <v>3520000.0</v>
      </c>
      <c r="E15" s="42">
        <f t="shared" si="1"/>
        <v>10560000</v>
      </c>
    </row>
    <row r="16">
      <c r="A16" s="44" t="s">
        <v>67</v>
      </c>
      <c r="B16" s="45"/>
      <c r="C16" s="46"/>
      <c r="D16" s="47"/>
      <c r="E16" s="47">
        <f>SUM(E1:E15)</f>
        <v>60325000</v>
      </c>
      <c r="F16" s="48"/>
    </row>
    <row r="17">
      <c r="A17" s="49" t="s">
        <v>68</v>
      </c>
      <c r="B17" s="50"/>
      <c r="C17" s="51"/>
      <c r="D17" s="52"/>
      <c r="E17" s="53">
        <v>5.0E7</v>
      </c>
      <c r="F17" s="54"/>
    </row>
    <row r="20">
      <c r="A20" s="55" t="s">
        <v>69</v>
      </c>
      <c r="B20" s="56">
        <f>IF(E17&gt;=E16,0.3,(E17/E16)*0.3)
</f>
        <v>0.2486531289</v>
      </c>
    </row>
    <row r="21">
      <c r="A21" s="55" t="s">
        <v>70</v>
      </c>
      <c r="B21" s="57">
        <f t="array" ref="B21">IFERROR(MIN(IF('Фин Модель'!C19:N19 &gt;= E17, COLUMN('Фин Модель'!C19:N19) - COLUMN('Фин Модель'!C19) + 1)), "Не окупается")
</f>
        <v>11</v>
      </c>
    </row>
  </sheetData>
  <dataValidations>
    <dataValidation type="custom" allowBlank="1" showDropDown="1" sqref="D2:E17">
      <formula1>AND(ISNUMBER(D2),(NOT(OR(NOT(ISERROR(DATEVALUE(D2))), AND(ISNUMBER(D2), LEFT(CELL("format", D2))="D")))))</formula1>
    </dataValidation>
    <dataValidation allowBlank="1" showDropDown="1" sqref="B2:B17"/>
  </dataValidations>
  <drawing r:id="rId1"/>
  <tableParts count="1">
    <tablePart r:id="rId3"/>
  </tableParts>
</worksheet>
</file>