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B7D2756-0178-4A1E-88FB-57FD7502A660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Инвестиции" sheetId="2" r:id="rId1"/>
    <sheet name="Операционные затраты" sheetId="3" r:id="rId2"/>
    <sheet name="ФОТ" sheetId="4" r:id="rId3"/>
    <sheet name="Доходы модель 1 - показы" sheetId="1" r:id="rId4"/>
    <sheet name="Прогноз дох и рас модель 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4" l="1"/>
  <c r="F4" i="4" s="1"/>
  <c r="E6" i="2"/>
  <c r="M8" i="7"/>
  <c r="N8" i="7"/>
  <c r="J8" i="7"/>
  <c r="K8" i="7"/>
  <c r="L8" i="7"/>
  <c r="E5" i="2" l="1"/>
  <c r="E12" i="3"/>
  <c r="O8" i="7" l="1"/>
  <c r="I8" i="7"/>
  <c r="H8" i="7"/>
  <c r="G8" i="7"/>
  <c r="F8" i="7"/>
  <c r="E8" i="7"/>
  <c r="D8" i="7"/>
  <c r="C8" i="7"/>
  <c r="B8" i="7"/>
  <c r="E3" i="4"/>
  <c r="F3" i="4" s="1"/>
  <c r="F2" i="4"/>
  <c r="E2" i="4"/>
  <c r="F5" i="4" l="1"/>
  <c r="E4" i="3"/>
  <c r="E5" i="3"/>
  <c r="E6" i="3"/>
  <c r="E7" i="3"/>
  <c r="E9" i="3"/>
  <c r="E10" i="3"/>
  <c r="E11" i="3"/>
  <c r="C8" i="3"/>
  <c r="E8" i="3" s="1"/>
  <c r="E3" i="3"/>
  <c r="E4" i="2"/>
  <c r="E3" i="2"/>
  <c r="E7" i="2" s="1"/>
  <c r="E2" i="2" l="1"/>
  <c r="E13" i="3"/>
  <c r="E14" i="3" l="1"/>
  <c r="B10" i="7"/>
  <c r="B7" i="1"/>
  <c r="B6" i="1"/>
  <c r="C4" i="1"/>
  <c r="C7" i="1" s="1"/>
  <c r="N10" i="7" l="1"/>
  <c r="J10" i="7"/>
  <c r="L10" i="7"/>
  <c r="K10" i="7"/>
  <c r="M10" i="7"/>
  <c r="D18" i="1"/>
  <c r="F18" i="1"/>
  <c r="J18" i="1"/>
  <c r="N18" i="1"/>
  <c r="F19" i="1"/>
  <c r="F7" i="7" s="1"/>
  <c r="F12" i="7" s="1"/>
  <c r="J19" i="1"/>
  <c r="J7" i="7" s="1"/>
  <c r="N19" i="1"/>
  <c r="N7" i="7" s="1"/>
  <c r="F20" i="1"/>
  <c r="J20" i="1"/>
  <c r="N20" i="1"/>
  <c r="C18" i="1"/>
  <c r="G18" i="1"/>
  <c r="K18" i="1"/>
  <c r="C19" i="1"/>
  <c r="C7" i="7" s="1"/>
  <c r="G19" i="1"/>
  <c r="G7" i="7" s="1"/>
  <c r="G12" i="7" s="1"/>
  <c r="K19" i="1"/>
  <c r="K7" i="7" s="1"/>
  <c r="C20" i="1"/>
  <c r="G20" i="1"/>
  <c r="K20" i="1"/>
  <c r="H18" i="1"/>
  <c r="L18" i="1"/>
  <c r="D19" i="1"/>
  <c r="D7" i="7" s="1"/>
  <c r="D12" i="7" s="1"/>
  <c r="H19" i="1"/>
  <c r="H7" i="7" s="1"/>
  <c r="H12" i="7" s="1"/>
  <c r="L19" i="1"/>
  <c r="L7" i="7" s="1"/>
  <c r="D20" i="1"/>
  <c r="H20" i="1"/>
  <c r="L20" i="1"/>
  <c r="E18" i="1"/>
  <c r="I18" i="1"/>
  <c r="M18" i="1"/>
  <c r="E19" i="1"/>
  <c r="I19" i="1"/>
  <c r="I7" i="7" s="1"/>
  <c r="I12" i="7" s="1"/>
  <c r="M19" i="1"/>
  <c r="M7" i="7" s="1"/>
  <c r="E20" i="1"/>
  <c r="I20" i="1"/>
  <c r="M20" i="1"/>
  <c r="B19" i="1"/>
  <c r="B7" i="7" s="1"/>
  <c r="B20" i="1"/>
  <c r="B18" i="1"/>
  <c r="D10" i="7"/>
  <c r="C10" i="7"/>
  <c r="O10" i="7" s="1"/>
  <c r="I10" i="7"/>
  <c r="G10" i="7"/>
  <c r="E10" i="7"/>
  <c r="H10" i="7"/>
  <c r="F10" i="7"/>
  <c r="C6" i="1"/>
  <c r="O18" i="1" l="1"/>
  <c r="O19" i="1"/>
  <c r="N12" i="7"/>
  <c r="N9" i="7"/>
  <c r="N11" i="7" s="1"/>
  <c r="N14" i="7" s="1"/>
  <c r="J9" i="7"/>
  <c r="J11" i="7" s="1"/>
  <c r="J12" i="7"/>
  <c r="M12" i="7"/>
  <c r="M9" i="7"/>
  <c r="M11" i="7" s="1"/>
  <c r="L12" i="7"/>
  <c r="L9" i="7"/>
  <c r="L11" i="7" s="1"/>
  <c r="L14" i="7" s="1"/>
  <c r="K12" i="7"/>
  <c r="K9" i="7"/>
  <c r="K11" i="7" s="1"/>
  <c r="K14" i="7" s="1"/>
  <c r="C12" i="7"/>
  <c r="O20" i="1"/>
  <c r="E7" i="7"/>
  <c r="E12" i="7" s="1"/>
  <c r="F9" i="7"/>
  <c r="F11" i="7" s="1"/>
  <c r="C9" i="7"/>
  <c r="C11" i="7" s="1"/>
  <c r="G9" i="7"/>
  <c r="G11" i="7" s="1"/>
  <c r="D9" i="7"/>
  <c r="D11" i="7" s="1"/>
  <c r="H9" i="7"/>
  <c r="B12" i="7"/>
  <c r="I9" i="7"/>
  <c r="J14" i="7" l="1"/>
  <c r="M14" i="7"/>
  <c r="O7" i="7"/>
  <c r="C14" i="7"/>
  <c r="E9" i="7"/>
  <c r="E11" i="7" s="1"/>
  <c r="E14" i="7" s="1"/>
  <c r="F14" i="7"/>
  <c r="O12" i="7"/>
  <c r="B9" i="7"/>
  <c r="B11" i="7" s="1"/>
  <c r="G14" i="7"/>
  <c r="D14" i="7"/>
  <c r="H11" i="7"/>
  <c r="H14" i="7" s="1"/>
  <c r="O9" i="7" l="1"/>
  <c r="B14" i="7"/>
  <c r="I11" i="7"/>
  <c r="I14" i="7" s="1"/>
  <c r="O11" i="7" l="1"/>
  <c r="O14" i="7" s="1"/>
</calcChain>
</file>

<file path=xl/sharedStrings.xml><?xml version="1.0" encoding="utf-8"?>
<sst xmlns="http://schemas.openxmlformats.org/spreadsheetml/2006/main" count="95" uniqueCount="91">
  <si>
    <t>Кол-во автобусов</t>
  </si>
  <si>
    <t>Время на линии, часы</t>
  </si>
  <si>
    <t>День</t>
  </si>
  <si>
    <t>Месяц</t>
  </si>
  <si>
    <t>Длина ролика, сек</t>
  </si>
  <si>
    <t>Кол-во показов, на един.</t>
  </si>
  <si>
    <t>Количество показов, на систему</t>
  </si>
  <si>
    <t>Итого</t>
  </si>
  <si>
    <t>Инвестиционные затраты</t>
  </si>
  <si>
    <t>Аренда</t>
  </si>
  <si>
    <t>Оборудование</t>
  </si>
  <si>
    <t xml:space="preserve">Стоимость за единицу </t>
  </si>
  <si>
    <t>Единицы</t>
  </si>
  <si>
    <t>Комментарии</t>
  </si>
  <si>
    <t>LED экран</t>
  </si>
  <si>
    <t xml:space="preserve">Камеры </t>
  </si>
  <si>
    <t xml:space="preserve">Камеры используются для записи видео, которое хранится на облачном сервере, для дальнейшего подсчета аудитории увидевшей рекламу, что дает возможность наиболее эффективно продавать показы/время рекламодателям. </t>
  </si>
  <si>
    <t xml:space="preserve">ФОТ (Фонд оплаты труда) только фикс. часть </t>
  </si>
  <si>
    <t>Оплата автопаркам</t>
  </si>
  <si>
    <t>Статья</t>
  </si>
  <si>
    <t>Интернет на автобус</t>
  </si>
  <si>
    <t xml:space="preserve">Домен рекламного кабинета </t>
  </si>
  <si>
    <t>Амортизация оборудования</t>
  </si>
  <si>
    <t xml:space="preserve">Расходы по содержанию оборудования </t>
  </si>
  <si>
    <t xml:space="preserve">для хранения данных с камер </t>
  </si>
  <si>
    <t xml:space="preserve">Подписка на облачный сервер </t>
  </si>
  <si>
    <t>№</t>
  </si>
  <si>
    <t>План персонала</t>
  </si>
  <si>
    <t>Оклад, тенге</t>
  </si>
  <si>
    <t>Кол-во сотрудников</t>
  </si>
  <si>
    <t>ФОТ в месяц, тенге</t>
  </si>
  <si>
    <t xml:space="preserve">Тех специалист </t>
  </si>
  <si>
    <t>Следит за исправностью ledов в системе, устраняет неисправности в системе и на самих экранах, следит за качеством ин-та, модерирует рекламный кабинет</t>
  </si>
  <si>
    <t>Специалист по продажам</t>
  </si>
  <si>
    <t>Итого ФОТ, тенге</t>
  </si>
  <si>
    <t>Оплата производится за автобус, а не за каждый led экран. Нет финальной цены, данные получены от автопарков при предварительных переговорах. Оплата производится ежемесячно. Точные данные скорректируем после подписания договора с автопарком. Уборка</t>
  </si>
  <si>
    <t xml:space="preserve">См. лист ФОТ </t>
  </si>
  <si>
    <t xml:space="preserve">Связь </t>
  </si>
  <si>
    <t>Стоимость за единицу</t>
  </si>
  <si>
    <t>Менеджерам по продажам</t>
  </si>
  <si>
    <t>аутсорс</t>
  </si>
  <si>
    <t xml:space="preserve">Операционные затраты (месяц) </t>
  </si>
  <si>
    <t>Бухгалтерские услуги</t>
  </si>
  <si>
    <t xml:space="preserve">Итого в год </t>
  </si>
  <si>
    <t>Итого в месяц</t>
  </si>
  <si>
    <t>Тряпки, моющие средства для уборщиц в автопарке</t>
  </si>
  <si>
    <t xml:space="preserve">Итого </t>
  </si>
  <si>
    <t>Пессимистичный</t>
  </si>
  <si>
    <t>Оптимальный</t>
  </si>
  <si>
    <t>Оптимистичный</t>
  </si>
  <si>
    <t xml:space="preserve">Доход пессимистичный сценарий </t>
  </si>
  <si>
    <t xml:space="preserve">Доход оптимальный сценарий </t>
  </si>
  <si>
    <t xml:space="preserve">Доход оптимистичный сценарий </t>
  </si>
  <si>
    <t>Стоимость показа</t>
  </si>
  <si>
    <t>Налоги, отчисления</t>
  </si>
  <si>
    <t>ПРОГНОЗ ДОХОДОВ И РАСХОДОВ (P&amp;L)</t>
  </si>
  <si>
    <t>Наименование статей</t>
  </si>
  <si>
    <t>Себестоимость</t>
  </si>
  <si>
    <t>Валовая прибыль</t>
  </si>
  <si>
    <t>Расходы по бизнесу</t>
  </si>
  <si>
    <t>Прибыль от бизнеса</t>
  </si>
  <si>
    <t>Чистая прибыль</t>
  </si>
  <si>
    <t xml:space="preserve">Применяется доходная часть по оптимальному показателю </t>
  </si>
  <si>
    <t>Модель 1-показы</t>
  </si>
  <si>
    <t>Общая информация</t>
  </si>
  <si>
    <t>Возможны незначитеьные изменения в сторону увеличения</t>
  </si>
  <si>
    <t>Налог НДС</t>
  </si>
  <si>
    <t>Доход</t>
  </si>
  <si>
    <t>Обоснования нет, не знаю гарантийный срок</t>
  </si>
  <si>
    <t>Налог по МФЦА 1% с оборота</t>
  </si>
  <si>
    <t>Май</t>
  </si>
  <si>
    <t>Hardware</t>
  </si>
  <si>
    <t>Прогноз прибылей и убытков за операционный год, тенге</t>
  </si>
  <si>
    <t xml:space="preserve">Сценарий прогнозов за операционный год </t>
  </si>
  <si>
    <t xml:space="preserve">Прогноз продаж за операционный год </t>
  </si>
  <si>
    <t xml:space="preserve">Октябрь </t>
  </si>
  <si>
    <t>Ноябрь</t>
  </si>
  <si>
    <t>Декабрь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</si>
  <si>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</si>
  <si>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</si>
  <si>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</si>
  <si>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</si>
  <si>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</si>
  <si>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</si>
  <si>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</si>
  <si>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</si>
  <si>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</si>
  <si>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Итого за операционный год</t>
  </si>
  <si>
    <t xml:space="preserve">Монтажные работы </t>
  </si>
  <si>
    <t>На каждый автобус по 2 led экрана (на заднем стекле автобуса, на боковом стекле - оба внутри).На заднем стекле - экран размещается для получения разрешений, в рамках концепции Smart City (утверждена правительством РК) от регуляторов (ГАИ и Управления мобильности) и испольуется для демонстарции номера маршрута, времени прибытия следущего автобуса по данному маршруту, погоды и др. Боковой экран - испольуется для демонтрации рекламных роликов. Еще 20 экранов для быстрой замены в случае аварии автобуса, отказа оборудования, других непредвиденных обстоятельств</t>
  </si>
  <si>
    <t>Креатор по форматированию и созданию роликов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</si>
</sst>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_₸_-;\-* #,##0\ _₸_-;_-* &quot;-&quot;\ _₸_-;_-@_-"/>
  </numFmts>
  <fonts count="1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FFFF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15397"/>
        <bgColor rgb="FF315397"/>
      </patternFill>
    </fill>
    <fill>
      <patternFill patternType="solid">
        <fgColor rgb="FFD9E0F1"/>
        <bgColor rgb="FFD9E0F1"/>
      </patternFill>
    </fill>
    <fill>
      <patternFill patternType="solid">
        <fgColor rgb="FFFDE9D9"/>
        <bgColor rgb="FFFDE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315397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3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13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0" fontId="5" fillId="0" borderId="17" xfId="0" applyFont="1" applyBorder="1" applyAlignment="1">
      <alignment horizontal="left" vertical="center" wrapText="1"/>
    </xf>
    <xf numFmtId="3" fontId="5" fillId="4" borderId="1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" fontId="5" fillId="4" borderId="21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0" fillId="0" borderId="17" xfId="0" applyBorder="1"/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0" fillId="0" borderId="17" xfId="0" applyFont="1" applyBorder="1"/>
    <xf numFmtId="0" fontId="5" fillId="0" borderId="11" xfId="0" applyFont="1" applyBorder="1" applyAlignment="1">
      <alignment horizontal="center" vertical="center" wrapText="1"/>
    </xf>
    <xf numFmtId="0" fontId="8" fillId="0" borderId="0" xfId="0" applyFont="1"/>
    <xf numFmtId="0" fontId="9" fillId="5" borderId="16" xfId="0" applyFont="1" applyFill="1" applyBorder="1" applyAlignment="1">
      <alignment horizontal="center"/>
    </xf>
    <xf numFmtId="0" fontId="9" fillId="6" borderId="16" xfId="0" applyFont="1" applyFill="1" applyBorder="1" applyAlignment="1">
      <alignment vertical="top" wrapText="1"/>
    </xf>
    <xf numFmtId="165" fontId="9" fillId="6" borderId="16" xfId="1" applyNumberFormat="1" applyFont="1" applyFill="1" applyBorder="1" applyAlignment="1">
      <alignment horizontal="center"/>
    </xf>
    <xf numFmtId="0" fontId="9" fillId="7" borderId="16" xfId="0" applyFont="1" applyFill="1" applyBorder="1" applyAlignment="1">
      <alignment vertical="top" wrapText="1"/>
    </xf>
    <xf numFmtId="165" fontId="9" fillId="7" borderId="16" xfId="1" applyNumberFormat="1" applyFont="1" applyFill="1" applyBorder="1" applyAlignment="1">
      <alignment horizontal="center"/>
    </xf>
    <xf numFmtId="165" fontId="10" fillId="0" borderId="16" xfId="1" applyNumberFormat="1" applyFont="1" applyBorder="1" applyAlignment="1">
      <alignment horizontal="center"/>
    </xf>
    <xf numFmtId="0" fontId="10" fillId="0" borderId="16" xfId="0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2" fillId="8" borderId="17" xfId="0" applyFont="1" applyFill="1" applyBorder="1" applyAlignment="1">
      <alignment horizontal="center" vertical="center"/>
    </xf>
    <xf numFmtId="0" fontId="6" fillId="0" borderId="0" xfId="0" applyFont="1"/>
    <xf numFmtId="0" fontId="8" fillId="0" borderId="17" xfId="0" applyFont="1" applyBorder="1"/>
    <xf numFmtId="17" fontId="0" fillId="0" borderId="17" xfId="0" applyNumberFormat="1" applyBorder="1"/>
    <xf numFmtId="9" fontId="0" fillId="0" borderId="17" xfId="2" applyFont="1" applyBorder="1"/>
    <xf numFmtId="164" fontId="0" fillId="0" borderId="17" xfId="0" applyNumberFormat="1" applyBorder="1"/>
    <xf numFmtId="164" fontId="0" fillId="0" borderId="17" xfId="1" applyNumberFormat="1" applyFont="1" applyBorder="1"/>
    <xf numFmtId="0" fontId="0" fillId="0" borderId="17" xfId="0" applyBorder="1" applyAlignment="1">
      <alignment wrapText="1"/>
    </xf>
    <xf numFmtId="0" fontId="13" fillId="0" borderId="12" xfId="0" applyFont="1" applyFill="1" applyBorder="1" applyAlignment="1">
      <alignment horizontal="left" vertical="center"/>
    </xf>
    <xf numFmtId="3" fontId="11" fillId="0" borderId="0" xfId="0" applyNumberFormat="1" applyFont="1"/>
    <xf numFmtId="0" fontId="5" fillId="3" borderId="4" xfId="0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0" fontId="15" fillId="9" borderId="0" xfId="0" applyFont="1" applyFill="1" applyAlignment="1">
      <alignment vertical="top"/>
    </xf>
    <xf numFmtId="0" fontId="15" fillId="9" borderId="0" xfId="0" applyFont="1" applyFill="1" applyAlignment="1">
      <alignment vertical="top" wrapText="1"/>
    </xf>
    <xf numFmtId="0" fontId="5" fillId="3" borderId="22" xfId="0" applyFont="1" applyFill="1" applyBorder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3" fillId="0" borderId="7" xfId="0" applyFont="1" applyBorder="1" applyAlignment="1"/>
    <xf numFmtId="3" fontId="5" fillId="4" borderId="26" xfId="0" applyNumberFormat="1" applyFont="1" applyFill="1" applyBorder="1" applyAlignment="1">
      <alignment horizontal="center" vertical="center"/>
    </xf>
    <xf numFmtId="0" fontId="3" fillId="0" borderId="17" xfId="0" applyFont="1" applyBorder="1" applyAlignment="1"/>
    <xf numFmtId="0" fontId="5" fillId="0" borderId="17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7" fillId="0" borderId="17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8" xfId="0" applyFont="1" applyBorder="1"/>
    <xf numFmtId="0" fontId="4" fillId="3" borderId="22" xfId="0" applyFont="1" applyFill="1" applyBorder="1" applyAlignment="1">
      <alignment horizontal="right" vertical="center" wrapText="1"/>
    </xf>
    <xf numFmtId="0" fontId="4" fillId="3" borderId="24" xfId="0" applyFont="1" applyFill="1" applyBorder="1" applyAlignment="1">
      <alignment horizontal="right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/>
    </xf>
  </cellXfs>
  <cellStyles count="4">
    <cellStyle name="Обычный" xfId="0" builtinId="0"/>
    <cellStyle name="Обычный 2" xfId="3" xr:uid="{00000000-0005-0000-0000-000001000000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zoomScale="70" zoomScaleNormal="70" workbookViewId="0">
      <selection activeCell="C4" sqref="C4"/>
    </sheetView>
  </sheetViews>
  <sheetFormatPr defaultRowHeight="15.75" x14ac:dyDescent="0.25"/>
  <cols>
    <col min="1" max="1" width="4.875" customWidth="1"/>
    <col min="2" max="2" width="20" customWidth="1"/>
    <col min="3" max="3" width="40.375" customWidth="1"/>
    <col min="4" max="4" width="22.875" customWidth="1"/>
    <col min="5" max="5" width="28.625" customWidth="1"/>
    <col min="6" max="6" width="74.875" customWidth="1"/>
  </cols>
  <sheetData>
    <row r="1" spans="1:7" x14ac:dyDescent="0.25">
      <c r="A1" s="75" t="s">
        <v>8</v>
      </c>
      <c r="B1" s="76"/>
      <c r="C1" s="76"/>
      <c r="D1" s="76"/>
      <c r="E1" s="77"/>
    </row>
    <row r="2" spans="1:7" x14ac:dyDescent="0.25">
      <c r="A2" s="63"/>
      <c r="B2" s="4" t="s">
        <v>10</v>
      </c>
      <c r="C2" s="7" t="s">
        <v>11</v>
      </c>
      <c r="D2" s="7" t="s">
        <v>12</v>
      </c>
      <c r="E2" s="5">
        <f>SUM(E3:E4)</f>
        <v>27850000</v>
      </c>
      <c r="F2" s="9" t="s">
        <v>13</v>
      </c>
      <c r="G2" s="10"/>
    </row>
    <row r="3" spans="1:7" ht="129" customHeight="1" x14ac:dyDescent="0.25">
      <c r="A3" s="64">
        <v>1</v>
      </c>
      <c r="B3" s="13" t="s">
        <v>14</v>
      </c>
      <c r="C3" s="35">
        <v>250000</v>
      </c>
      <c r="D3" s="35">
        <v>110</v>
      </c>
      <c r="E3" s="65">
        <f>SUM(C3*D3)</f>
        <v>27500000</v>
      </c>
      <c r="F3" s="11" t="s">
        <v>89</v>
      </c>
    </row>
    <row r="4" spans="1:7" ht="47.25" x14ac:dyDescent="0.25">
      <c r="A4" s="66">
        <v>2</v>
      </c>
      <c r="B4" s="21" t="s">
        <v>15</v>
      </c>
      <c r="C4" s="67">
        <v>35000</v>
      </c>
      <c r="D4" s="67">
        <v>10</v>
      </c>
      <c r="E4" s="22">
        <f>SUM(C4*D4)</f>
        <v>350000</v>
      </c>
      <c r="F4" s="11" t="s">
        <v>16</v>
      </c>
    </row>
    <row r="5" spans="1:7" ht="39.75" customHeight="1" x14ac:dyDescent="0.25">
      <c r="A5" s="27">
        <v>3</v>
      </c>
      <c r="B5" s="21" t="s">
        <v>71</v>
      </c>
      <c r="C5" s="67">
        <v>500000</v>
      </c>
      <c r="D5" s="67">
        <v>50</v>
      </c>
      <c r="E5" s="22">
        <f>C5*D5</f>
        <v>25000000</v>
      </c>
      <c r="F5" s="11"/>
    </row>
    <row r="6" spans="1:7" ht="39.75" customHeight="1" x14ac:dyDescent="0.25">
      <c r="A6" s="27">
        <v>4</v>
      </c>
      <c r="B6" s="21" t="s">
        <v>88</v>
      </c>
      <c r="C6" s="67">
        <v>50000</v>
      </c>
      <c r="D6" s="67">
        <v>50</v>
      </c>
      <c r="E6" s="22">
        <f>C6*D6</f>
        <v>2500000</v>
      </c>
      <c r="F6" s="11"/>
    </row>
    <row r="7" spans="1:7" ht="18.75" x14ac:dyDescent="0.3">
      <c r="B7" s="54" t="s">
        <v>46</v>
      </c>
      <c r="C7" s="44"/>
      <c r="D7" s="44"/>
      <c r="E7" s="55">
        <f>E3+E4+E5+E6</f>
        <v>55350000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A4" workbookViewId="0">
      <selection activeCell="D4" sqref="D4"/>
    </sheetView>
  </sheetViews>
  <sheetFormatPr defaultRowHeight="15.75" x14ac:dyDescent="0.25"/>
  <cols>
    <col min="1" max="1" width="5.75" customWidth="1"/>
    <col min="2" max="2" width="21.5" customWidth="1"/>
    <col min="3" max="3" width="18.25" customWidth="1"/>
    <col min="4" max="4" width="19.375" customWidth="1"/>
    <col min="5" max="5" width="14.875" customWidth="1"/>
    <col min="6" max="6" width="40.25" customWidth="1"/>
  </cols>
  <sheetData>
    <row r="1" spans="1:6" ht="30.75" customHeight="1" x14ac:dyDescent="0.25">
      <c r="A1" s="78" t="s">
        <v>41</v>
      </c>
      <c r="B1" s="79"/>
      <c r="C1" s="79"/>
      <c r="D1" s="79"/>
      <c r="E1" s="80"/>
    </row>
    <row r="2" spans="1:6" ht="31.5" x14ac:dyDescent="0.25">
      <c r="A2" s="46"/>
      <c r="B2" s="29" t="s">
        <v>19</v>
      </c>
      <c r="C2" s="30" t="s">
        <v>38</v>
      </c>
      <c r="D2" s="31" t="s">
        <v>12</v>
      </c>
      <c r="E2" s="29" t="s">
        <v>7</v>
      </c>
    </row>
    <row r="3" spans="1:6" ht="77.25" customHeight="1" x14ac:dyDescent="0.25">
      <c r="A3" s="23">
        <v>1</v>
      </c>
      <c r="B3" s="24" t="s">
        <v>18</v>
      </c>
      <c r="C3" s="25">
        <v>20000</v>
      </c>
      <c r="D3" s="25">
        <v>50</v>
      </c>
      <c r="E3" s="26">
        <f>D3*C3</f>
        <v>1000000</v>
      </c>
      <c r="F3" s="15" t="s">
        <v>35</v>
      </c>
    </row>
    <row r="4" spans="1:6" ht="45" customHeight="1" x14ac:dyDescent="0.25">
      <c r="A4" s="12">
        <v>2</v>
      </c>
      <c r="B4" s="6" t="s">
        <v>17</v>
      </c>
      <c r="C4" s="8"/>
      <c r="D4" s="8"/>
      <c r="E4" s="26">
        <f>ФОТ!F5</f>
        <v>3520000</v>
      </c>
      <c r="F4" s="47" t="s">
        <v>36</v>
      </c>
    </row>
    <row r="5" spans="1:6" ht="51.75" customHeight="1" x14ac:dyDescent="0.25">
      <c r="A5" s="23">
        <v>3</v>
      </c>
      <c r="B5" s="6" t="s">
        <v>25</v>
      </c>
      <c r="C5" s="8">
        <v>100000</v>
      </c>
      <c r="D5" s="8">
        <v>1</v>
      </c>
      <c r="E5" s="26">
        <f t="shared" ref="E5:E12" si="0">D5*C5</f>
        <v>100000</v>
      </c>
      <c r="F5" s="47" t="s">
        <v>24</v>
      </c>
    </row>
    <row r="6" spans="1:6" ht="18.75" customHeight="1" x14ac:dyDescent="0.25">
      <c r="A6" s="23">
        <v>5</v>
      </c>
      <c r="B6" s="13" t="s">
        <v>20</v>
      </c>
      <c r="C6" s="14">
        <v>3000</v>
      </c>
      <c r="D6" s="14">
        <v>100</v>
      </c>
      <c r="E6" s="26">
        <f t="shared" si="0"/>
        <v>300000</v>
      </c>
      <c r="F6" s="47"/>
    </row>
    <row r="7" spans="1:6" ht="36.75" customHeight="1" x14ac:dyDescent="0.25">
      <c r="A7" s="12">
        <v>6</v>
      </c>
      <c r="B7" s="13" t="s">
        <v>21</v>
      </c>
      <c r="C7" s="14">
        <v>5500</v>
      </c>
      <c r="D7" s="14">
        <v>1</v>
      </c>
      <c r="E7" s="26">
        <f t="shared" si="0"/>
        <v>5500</v>
      </c>
      <c r="F7" s="47"/>
    </row>
    <row r="8" spans="1:6" ht="31.5" x14ac:dyDescent="0.25">
      <c r="A8" s="23">
        <v>7</v>
      </c>
      <c r="B8" s="21" t="s">
        <v>22</v>
      </c>
      <c r="C8" s="21">
        <f>Инвестиции!C3/100</f>
        <v>2500</v>
      </c>
      <c r="D8" s="21">
        <v>100</v>
      </c>
      <c r="E8" s="26">
        <f t="shared" si="0"/>
        <v>250000</v>
      </c>
      <c r="F8" s="15" t="s">
        <v>68</v>
      </c>
    </row>
    <row r="9" spans="1:6" ht="47.25" x14ac:dyDescent="0.25">
      <c r="A9" s="56">
        <v>8</v>
      </c>
      <c r="B9" s="57" t="s">
        <v>23</v>
      </c>
      <c r="C9" s="57">
        <v>6000</v>
      </c>
      <c r="D9" s="57">
        <v>100</v>
      </c>
      <c r="E9" s="16">
        <f t="shared" si="0"/>
        <v>600000</v>
      </c>
      <c r="F9" s="15" t="s">
        <v>45</v>
      </c>
    </row>
    <row r="10" spans="1:6" x14ac:dyDescent="0.25">
      <c r="A10" s="33">
        <v>9</v>
      </c>
      <c r="B10" s="21" t="s">
        <v>37</v>
      </c>
      <c r="C10" s="21">
        <v>5000</v>
      </c>
      <c r="D10" s="21">
        <v>1</v>
      </c>
      <c r="E10" s="22">
        <f t="shared" si="0"/>
        <v>5000</v>
      </c>
      <c r="F10" s="15" t="s">
        <v>39</v>
      </c>
    </row>
    <row r="11" spans="1:6" x14ac:dyDescent="0.25">
      <c r="A11" s="33">
        <v>10</v>
      </c>
      <c r="B11" s="21" t="s">
        <v>42</v>
      </c>
      <c r="C11" s="21">
        <v>120000</v>
      </c>
      <c r="D11" s="21">
        <v>1</v>
      </c>
      <c r="E11" s="22">
        <f t="shared" si="0"/>
        <v>120000</v>
      </c>
      <c r="F11" s="15" t="s">
        <v>40</v>
      </c>
    </row>
    <row r="12" spans="1:6" x14ac:dyDescent="0.25">
      <c r="A12" s="60">
        <v>12</v>
      </c>
      <c r="B12" s="61" t="s">
        <v>9</v>
      </c>
      <c r="C12" s="62">
        <v>200000</v>
      </c>
      <c r="D12" s="21">
        <v>1</v>
      </c>
      <c r="E12" s="22">
        <f t="shared" si="0"/>
        <v>200000</v>
      </c>
      <c r="F12" s="15"/>
    </row>
    <row r="13" spans="1:6" ht="15.75" customHeight="1" x14ac:dyDescent="0.25">
      <c r="A13" s="81" t="s">
        <v>44</v>
      </c>
      <c r="B13" s="82"/>
      <c r="C13" s="83"/>
      <c r="D13" s="27"/>
      <c r="E13" s="32">
        <f>SUM(E3:E8)</f>
        <v>5175500</v>
      </c>
    </row>
    <row r="14" spans="1:6" x14ac:dyDescent="0.25">
      <c r="A14" s="81" t="s">
        <v>43</v>
      </c>
      <c r="B14" s="82"/>
      <c r="C14" s="83"/>
      <c r="D14" s="34"/>
      <c r="E14" s="22">
        <f>E13*12</f>
        <v>62106000</v>
      </c>
    </row>
  </sheetData>
  <mergeCells count="3">
    <mergeCell ref="A1:E1"/>
    <mergeCell ref="A13:C13"/>
    <mergeCell ref="A14:C1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workbookViewId="0">
      <selection activeCell="E11" sqref="E10:E11"/>
    </sheetView>
  </sheetViews>
  <sheetFormatPr defaultRowHeight="15.75" x14ac:dyDescent="0.25"/>
  <cols>
    <col min="2" max="2" width="23.375" customWidth="1"/>
    <col min="7" max="7" width="46.375" customWidth="1"/>
  </cols>
  <sheetData>
    <row r="1" spans="1:7" ht="73.5" customHeight="1" x14ac:dyDescent="0.25">
      <c r="A1" s="72" t="s">
        <v>26</v>
      </c>
      <c r="B1" s="72" t="s">
        <v>27</v>
      </c>
      <c r="C1" s="72" t="s">
        <v>28</v>
      </c>
      <c r="D1" s="72" t="s">
        <v>29</v>
      </c>
      <c r="E1" s="72" t="s">
        <v>54</v>
      </c>
      <c r="F1" s="72" t="s">
        <v>30</v>
      </c>
      <c r="G1" s="17" t="s">
        <v>13</v>
      </c>
    </row>
    <row r="2" spans="1:7" ht="63" x14ac:dyDescent="0.25">
      <c r="A2" s="70">
        <v>1</v>
      </c>
      <c r="B2" s="66" t="s">
        <v>31</v>
      </c>
      <c r="C2" s="66">
        <v>1000000</v>
      </c>
      <c r="D2" s="66">
        <v>2</v>
      </c>
      <c r="E2" s="66">
        <f>C2*0.2</f>
        <v>200000</v>
      </c>
      <c r="F2" s="66">
        <f>C2*D2+E2</f>
        <v>2200000</v>
      </c>
      <c r="G2" s="18" t="s">
        <v>32</v>
      </c>
    </row>
    <row r="3" spans="1:7" x14ac:dyDescent="0.25">
      <c r="A3" s="70">
        <v>2</v>
      </c>
      <c r="B3" s="66" t="s">
        <v>33</v>
      </c>
      <c r="C3" s="66">
        <v>600000</v>
      </c>
      <c r="D3" s="66">
        <v>1</v>
      </c>
      <c r="E3" s="66">
        <f>C3*0.2</f>
        <v>120000</v>
      </c>
      <c r="F3" s="66">
        <f>C3*D3+E3</f>
        <v>720000</v>
      </c>
      <c r="G3" s="19"/>
    </row>
    <row r="4" spans="1:7" ht="47.25" x14ac:dyDescent="0.25">
      <c r="A4" s="70">
        <v>3</v>
      </c>
      <c r="B4" s="71" t="s">
        <v>90</v>
      </c>
      <c r="C4" s="66">
        <v>500000</v>
      </c>
      <c r="D4" s="66">
        <v>1</v>
      </c>
      <c r="E4" s="66">
        <f>C4*0.2</f>
        <v>100000</v>
      </c>
      <c r="F4" s="66">
        <f>E4+C4</f>
        <v>600000</v>
      </c>
      <c r="G4" s="19"/>
    </row>
    <row r="5" spans="1:7" x14ac:dyDescent="0.25">
      <c r="A5" s="84" t="s">
        <v>34</v>
      </c>
      <c r="B5" s="84"/>
      <c r="C5" s="84"/>
      <c r="D5" s="84"/>
      <c r="E5" s="73"/>
      <c r="F5" s="74">
        <f>SUM(F2:F4)</f>
        <v>3520000</v>
      </c>
      <c r="G5" s="20"/>
    </row>
  </sheetData>
  <mergeCells count="1"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zoomScale="80" zoomScaleNormal="80" workbookViewId="0">
      <selection activeCell="C6" sqref="C6"/>
    </sheetView>
  </sheetViews>
  <sheetFormatPr defaultColWidth="11" defaultRowHeight="15.75" x14ac:dyDescent="0.25"/>
  <cols>
    <col min="1" max="1" width="35.375" bestFit="1" customWidth="1"/>
    <col min="2" max="2" width="15.875" bestFit="1" customWidth="1"/>
    <col min="3" max="3" width="17" bestFit="1" customWidth="1"/>
    <col min="4" max="4" width="24.375" customWidth="1"/>
    <col min="5" max="6" width="14.625" customWidth="1"/>
    <col min="7" max="7" width="15" bestFit="1" customWidth="1"/>
    <col min="8" max="8" width="12.875" customWidth="1"/>
    <col min="9" max="9" width="12.625" customWidth="1"/>
    <col min="10" max="10" width="13.75" customWidth="1"/>
    <col min="11" max="11" width="12.625" customWidth="1"/>
    <col min="12" max="12" width="15.375" customWidth="1"/>
    <col min="13" max="13" width="12.75" customWidth="1"/>
    <col min="14" max="14" width="15.25" customWidth="1"/>
    <col min="15" max="15" width="18.625" customWidth="1"/>
  </cols>
  <sheetData>
    <row r="1" spans="1:14" x14ac:dyDescent="0.25">
      <c r="A1" s="85" t="s">
        <v>64</v>
      </c>
      <c r="B1" s="85"/>
      <c r="C1" s="85"/>
      <c r="D1" s="85"/>
    </row>
    <row r="2" spans="1:14" x14ac:dyDescent="0.25">
      <c r="A2" s="28"/>
      <c r="B2" s="28" t="s">
        <v>2</v>
      </c>
      <c r="C2" s="28" t="s">
        <v>3</v>
      </c>
      <c r="D2" s="28" t="s">
        <v>13</v>
      </c>
    </row>
    <row r="3" spans="1:14" x14ac:dyDescent="0.25">
      <c r="A3" s="48" t="s">
        <v>4</v>
      </c>
      <c r="B3" s="28">
        <v>8</v>
      </c>
      <c r="C3" s="28">
        <v>8</v>
      </c>
      <c r="D3" s="28"/>
    </row>
    <row r="4" spans="1:14" x14ac:dyDescent="0.25">
      <c r="A4" s="48" t="s">
        <v>1</v>
      </c>
      <c r="B4" s="28">
        <v>12</v>
      </c>
      <c r="C4" s="28">
        <f>B4*30</f>
        <v>360</v>
      </c>
      <c r="D4" s="28"/>
      <c r="G4" s="1"/>
    </row>
    <row r="5" spans="1:14" x14ac:dyDescent="0.25">
      <c r="A5" s="48" t="s">
        <v>0</v>
      </c>
      <c r="B5" s="28">
        <v>50</v>
      </c>
      <c r="C5" s="28">
        <v>50</v>
      </c>
      <c r="D5" s="28"/>
      <c r="G5" s="3"/>
    </row>
    <row r="6" spans="1:14" x14ac:dyDescent="0.25">
      <c r="A6" s="48" t="s">
        <v>5</v>
      </c>
      <c r="B6" s="52">
        <f>B4*3600/B3</f>
        <v>5400</v>
      </c>
      <c r="C6" s="52">
        <f>C4*3600/C3</f>
        <v>162000</v>
      </c>
      <c r="D6" s="28"/>
    </row>
    <row r="7" spans="1:14" x14ac:dyDescent="0.25">
      <c r="A7" s="48" t="s">
        <v>6</v>
      </c>
      <c r="B7" s="52">
        <f>B4*3600*B5/B3</f>
        <v>270000</v>
      </c>
      <c r="C7" s="52">
        <f>C4*3600*C5/C3</f>
        <v>8100000</v>
      </c>
      <c r="D7" s="28"/>
      <c r="E7" s="2"/>
      <c r="F7" s="2"/>
      <c r="G7" s="2"/>
    </row>
    <row r="8" spans="1:14" ht="44.25" customHeight="1" x14ac:dyDescent="0.25">
      <c r="A8" s="48" t="s">
        <v>53</v>
      </c>
      <c r="B8" s="28">
        <v>10</v>
      </c>
      <c r="C8" s="28"/>
      <c r="D8" s="53" t="s">
        <v>65</v>
      </c>
    </row>
    <row r="11" spans="1:14" x14ac:dyDescent="0.25">
      <c r="A11" s="86" t="s">
        <v>74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x14ac:dyDescent="0.25">
      <c r="A12" s="48"/>
      <c r="B12" s="49">
        <v>45566</v>
      </c>
      <c r="C12" s="49">
        <v>45597</v>
      </c>
      <c r="D12" s="49">
        <v>45627</v>
      </c>
      <c r="E12" s="49">
        <v>45658</v>
      </c>
      <c r="F12" s="49">
        <v>45689</v>
      </c>
      <c r="G12" s="49">
        <v>45717</v>
      </c>
      <c r="H12" s="49">
        <v>45748</v>
      </c>
      <c r="I12" s="49">
        <v>45778</v>
      </c>
      <c r="J12" s="49">
        <v>45809</v>
      </c>
      <c r="K12" s="49">
        <v>45839</v>
      </c>
      <c r="L12" s="49">
        <v>45870</v>
      </c>
      <c r="M12" s="49">
        <v>45901</v>
      </c>
      <c r="N12" s="49">
        <v>45931</v>
      </c>
    </row>
    <row r="13" spans="1:14" x14ac:dyDescent="0.25">
      <c r="A13" s="48" t="s">
        <v>47</v>
      </c>
      <c r="B13" s="50">
        <v>0.05</v>
      </c>
      <c r="C13" s="50">
        <v>0.05</v>
      </c>
      <c r="D13" s="50">
        <v>0.05</v>
      </c>
      <c r="E13" s="50">
        <v>0.05</v>
      </c>
      <c r="F13" s="50">
        <v>0.05</v>
      </c>
      <c r="G13" s="50">
        <v>0.05</v>
      </c>
      <c r="H13" s="50">
        <v>0.05</v>
      </c>
      <c r="I13" s="50">
        <v>0.05</v>
      </c>
      <c r="J13" s="50">
        <v>0.05</v>
      </c>
      <c r="K13" s="50">
        <v>0.05</v>
      </c>
      <c r="L13" s="50">
        <v>0.05</v>
      </c>
      <c r="M13" s="50">
        <v>0.05</v>
      </c>
      <c r="N13" s="50">
        <v>0.05</v>
      </c>
    </row>
    <row r="14" spans="1:14" x14ac:dyDescent="0.25">
      <c r="A14" s="48" t="s">
        <v>48</v>
      </c>
      <c r="B14" s="50">
        <v>0.15</v>
      </c>
      <c r="C14" s="50">
        <v>0.15</v>
      </c>
      <c r="D14" s="50">
        <v>0.25</v>
      </c>
      <c r="E14" s="50">
        <v>0.35</v>
      </c>
      <c r="F14" s="50">
        <v>0.35</v>
      </c>
      <c r="G14" s="50">
        <v>0.35</v>
      </c>
      <c r="H14" s="50">
        <v>0.35</v>
      </c>
      <c r="I14" s="50">
        <v>0.35</v>
      </c>
      <c r="J14" s="50">
        <v>0.35</v>
      </c>
      <c r="K14" s="50">
        <v>0.4</v>
      </c>
      <c r="L14" s="50">
        <v>0.45</v>
      </c>
      <c r="M14" s="50">
        <v>0.5</v>
      </c>
      <c r="N14" s="50">
        <v>0.5</v>
      </c>
    </row>
    <row r="15" spans="1:14" x14ac:dyDescent="0.25">
      <c r="A15" s="48" t="s">
        <v>49</v>
      </c>
      <c r="B15" s="50">
        <v>0.4</v>
      </c>
      <c r="C15" s="50">
        <v>0.4</v>
      </c>
      <c r="D15" s="50">
        <v>0.4</v>
      </c>
      <c r="E15" s="50">
        <v>0.4</v>
      </c>
      <c r="F15" s="50">
        <v>0.4</v>
      </c>
      <c r="G15" s="50">
        <v>0.4</v>
      </c>
      <c r="H15" s="50">
        <v>0.6</v>
      </c>
      <c r="I15" s="50">
        <v>0.6</v>
      </c>
      <c r="J15" s="50">
        <v>0.6</v>
      </c>
      <c r="K15" s="50">
        <v>0.6</v>
      </c>
      <c r="L15" s="50">
        <v>0.6</v>
      </c>
      <c r="M15" s="50">
        <v>0.6</v>
      </c>
      <c r="N15" s="50">
        <v>0.6</v>
      </c>
    </row>
    <row r="16" spans="1:14" x14ac:dyDescent="0.25">
      <c r="A16" s="36"/>
    </row>
    <row r="17" spans="1:15" x14ac:dyDescent="0.25">
      <c r="A17" s="86" t="s">
        <v>73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  <c r="O17" s="48" t="s">
        <v>7</v>
      </c>
    </row>
    <row r="18" spans="1:15" x14ac:dyDescent="0.25">
      <c r="A18" s="48" t="s">
        <v>50</v>
      </c>
      <c r="B18" s="51">
        <f t="shared" ref="B18:B20" si="0">$C$7*$B$8*B13</f>
        <v>4050000</v>
      </c>
      <c r="C18" s="51">
        <f t="shared" ref="C18:N18" si="1">$C$7*$B$8*C13</f>
        <v>4050000</v>
      </c>
      <c r="D18" s="51">
        <f t="shared" si="1"/>
        <v>4050000</v>
      </c>
      <c r="E18" s="51">
        <f t="shared" si="1"/>
        <v>4050000</v>
      </c>
      <c r="F18" s="51">
        <f t="shared" si="1"/>
        <v>4050000</v>
      </c>
      <c r="G18" s="51">
        <f t="shared" si="1"/>
        <v>4050000</v>
      </c>
      <c r="H18" s="51">
        <f t="shared" si="1"/>
        <v>4050000</v>
      </c>
      <c r="I18" s="51">
        <f t="shared" si="1"/>
        <v>4050000</v>
      </c>
      <c r="J18" s="51">
        <f t="shared" si="1"/>
        <v>4050000</v>
      </c>
      <c r="K18" s="51">
        <f t="shared" si="1"/>
        <v>4050000</v>
      </c>
      <c r="L18" s="51">
        <f t="shared" si="1"/>
        <v>4050000</v>
      </c>
      <c r="M18" s="51">
        <f t="shared" si="1"/>
        <v>4050000</v>
      </c>
      <c r="N18" s="51">
        <f t="shared" si="1"/>
        <v>4050000</v>
      </c>
      <c r="O18" s="2">
        <f>SUM(B18:N18)</f>
        <v>52650000</v>
      </c>
    </row>
    <row r="19" spans="1:15" x14ac:dyDescent="0.25">
      <c r="A19" s="48" t="s">
        <v>51</v>
      </c>
      <c r="B19" s="51">
        <f t="shared" si="0"/>
        <v>12150000</v>
      </c>
      <c r="C19" s="51">
        <f t="shared" ref="C19:N19" si="2">$C$7*$B$8*C14</f>
        <v>12150000</v>
      </c>
      <c r="D19" s="51">
        <f t="shared" si="2"/>
        <v>20250000</v>
      </c>
      <c r="E19" s="51">
        <f t="shared" si="2"/>
        <v>28350000</v>
      </c>
      <c r="F19" s="51">
        <f t="shared" si="2"/>
        <v>28350000</v>
      </c>
      <c r="G19" s="51">
        <f t="shared" si="2"/>
        <v>28350000</v>
      </c>
      <c r="H19" s="51">
        <f t="shared" si="2"/>
        <v>28350000</v>
      </c>
      <c r="I19" s="51">
        <f t="shared" si="2"/>
        <v>28350000</v>
      </c>
      <c r="J19" s="51">
        <f t="shared" si="2"/>
        <v>28350000</v>
      </c>
      <c r="K19" s="51">
        <f t="shared" si="2"/>
        <v>32400000</v>
      </c>
      <c r="L19" s="51">
        <f t="shared" si="2"/>
        <v>36450000</v>
      </c>
      <c r="M19" s="51">
        <f t="shared" si="2"/>
        <v>40500000</v>
      </c>
      <c r="N19" s="51">
        <f t="shared" si="2"/>
        <v>40500000</v>
      </c>
      <c r="O19" s="2">
        <f>SUM(B19:N19)</f>
        <v>364500000</v>
      </c>
    </row>
    <row r="20" spans="1:15" x14ac:dyDescent="0.25">
      <c r="A20" s="48" t="s">
        <v>52</v>
      </c>
      <c r="B20" s="51">
        <f t="shared" si="0"/>
        <v>32400000</v>
      </c>
      <c r="C20" s="51">
        <f t="shared" ref="C20:N20" si="3">$C$7*$B$8*C15</f>
        <v>32400000</v>
      </c>
      <c r="D20" s="51">
        <f t="shared" si="3"/>
        <v>32400000</v>
      </c>
      <c r="E20" s="51">
        <f t="shared" si="3"/>
        <v>32400000</v>
      </c>
      <c r="F20" s="51">
        <f t="shared" si="3"/>
        <v>32400000</v>
      </c>
      <c r="G20" s="51">
        <f t="shared" si="3"/>
        <v>32400000</v>
      </c>
      <c r="H20" s="51">
        <f t="shared" si="3"/>
        <v>48600000</v>
      </c>
      <c r="I20" s="51">
        <f t="shared" si="3"/>
        <v>48600000</v>
      </c>
      <c r="J20" s="51">
        <f t="shared" si="3"/>
        <v>48600000</v>
      </c>
      <c r="K20" s="51">
        <f t="shared" si="3"/>
        <v>48600000</v>
      </c>
      <c r="L20" s="51">
        <f t="shared" si="3"/>
        <v>48600000</v>
      </c>
      <c r="M20" s="51">
        <f t="shared" si="3"/>
        <v>48600000</v>
      </c>
      <c r="N20" s="51">
        <f t="shared" si="3"/>
        <v>48600000</v>
      </c>
      <c r="O20" s="2">
        <f>SUM(B20:N20)</f>
        <v>534600000</v>
      </c>
    </row>
  </sheetData>
  <mergeCells count="3">
    <mergeCell ref="A1:D1"/>
    <mergeCell ref="A17:N17"/>
    <mergeCell ref="A11:N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"/>
  <sheetViews>
    <sheetView tabSelected="1" topLeftCell="E1" workbookViewId="0">
      <selection activeCell="A13" sqref="A13"/>
    </sheetView>
  </sheetViews>
  <sheetFormatPr defaultRowHeight="15.75" x14ac:dyDescent="0.25"/>
  <cols>
    <col min="1" max="1" width="38.375" customWidth="1"/>
    <col min="2" max="2" width="14.375" customWidth="1"/>
    <col min="3" max="4" width="16.125" customWidth="1"/>
    <col min="5" max="5" width="13.625" customWidth="1"/>
    <col min="6" max="6" width="14.25" customWidth="1"/>
    <col min="7" max="7" width="14.625" customWidth="1"/>
    <col min="8" max="8" width="12.75" customWidth="1"/>
    <col min="9" max="9" width="15.125" customWidth="1"/>
    <col min="10" max="10" width="14" bestFit="1" customWidth="1"/>
    <col min="11" max="11" width="18.125" customWidth="1"/>
    <col min="12" max="12" width="13.5" customWidth="1"/>
    <col min="13" max="13" width="14.75" customWidth="1"/>
    <col min="14" max="15" width="13.75" customWidth="1"/>
  </cols>
  <sheetData>
    <row r="1" spans="1:15" ht="21" x14ac:dyDescent="0.35">
      <c r="A1" s="58" t="s">
        <v>55</v>
      </c>
      <c r="B1" s="45" t="s">
        <v>63</v>
      </c>
    </row>
    <row r="2" spans="1:15" ht="31.5" x14ac:dyDescent="0.25">
      <c r="A2" s="59" t="s">
        <v>62</v>
      </c>
    </row>
    <row r="4" spans="1:15" ht="16.5" thickBot="1" x14ac:dyDescent="0.3"/>
    <row r="5" spans="1:15" ht="17.25" thickTop="1" thickBot="1" x14ac:dyDescent="0.3">
      <c r="A5" s="89" t="s">
        <v>56</v>
      </c>
      <c r="B5" s="90" t="s">
        <v>72</v>
      </c>
      <c r="C5" s="90"/>
      <c r="D5" s="90"/>
      <c r="E5" s="90"/>
      <c r="F5" s="90"/>
      <c r="G5" s="90"/>
      <c r="H5" s="90"/>
      <c r="I5" s="90"/>
      <c r="J5" s="90"/>
      <c r="K5" s="90"/>
    </row>
    <row r="6" spans="1:15" ht="45" thickTop="1" thickBot="1" x14ac:dyDescent="0.3">
      <c r="A6" s="89"/>
      <c r="B6" s="37" t="s">
        <v>75</v>
      </c>
      <c r="C6" s="68" t="s">
        <v>76</v>
      </c>
      <c r="D6" s="68" t="s">
        <v>77</v>
      </c>
      <c r="E6" s="68" t="s">
        <v>78</v>
      </c>
      <c r="F6" s="68" t="s">
        <v>79</v>
      </c>
      <c r="G6" s="68" t="s">
        <v>80</v>
      </c>
      <c r="H6" s="68" t="s">
        <v>81</v>
      </c>
      <c r="I6" s="68" t="s">
        <v>70</v>
      </c>
      <c r="J6" s="68" t="s">
        <v>82</v>
      </c>
      <c r="K6" s="68" t="s">
        <v>83</v>
      </c>
      <c r="L6" s="68" t="s">
        <v>84</v>
      </c>
      <c r="M6" s="68" t="s">
        <v>85</v>
      </c>
      <c r="N6" s="68" t="s">
        <v>86</v>
      </c>
      <c r="O6" s="69" t="s">
        <v>87</v>
      </c>
    </row>
    <row r="7" spans="1:15" ht="17.25" thickTop="1" thickBot="1" x14ac:dyDescent="0.3">
      <c r="A7" s="38" t="s">
        <v>67</v>
      </c>
      <c r="B7" s="39">
        <f>'Доходы модель 1 - показы'!B19</f>
        <v>12150000</v>
      </c>
      <c r="C7" s="39">
        <f>'Доходы модель 1 - показы'!C19</f>
        <v>12150000</v>
      </c>
      <c r="D7" s="39">
        <f>'Доходы модель 1 - показы'!D19</f>
        <v>20250000</v>
      </c>
      <c r="E7" s="39">
        <f>'Доходы модель 1 - показы'!E19</f>
        <v>28350000</v>
      </c>
      <c r="F7" s="39">
        <f>'Доходы модель 1 - показы'!F19</f>
        <v>28350000</v>
      </c>
      <c r="G7" s="39">
        <f>'Доходы модель 1 - показы'!G19</f>
        <v>28350000</v>
      </c>
      <c r="H7" s="39">
        <f>'Доходы модель 1 - показы'!H19</f>
        <v>28350000</v>
      </c>
      <c r="I7" s="39">
        <f>'Доходы модель 1 - показы'!I19</f>
        <v>28350000</v>
      </c>
      <c r="J7" s="39">
        <f>'Доходы модель 1 - показы'!J19</f>
        <v>28350000</v>
      </c>
      <c r="K7" s="39">
        <f>'Доходы модель 1 - показы'!K19</f>
        <v>32400000</v>
      </c>
      <c r="L7" s="39">
        <f>'Доходы модель 1 - показы'!L19</f>
        <v>36450000</v>
      </c>
      <c r="M7" s="39">
        <f>'Доходы модель 1 - показы'!M19</f>
        <v>40500000</v>
      </c>
      <c r="N7" s="39">
        <f>'Доходы модель 1 - показы'!N19</f>
        <v>40500000</v>
      </c>
      <c r="O7" s="39">
        <f>SUM(B7:N7)</f>
        <v>364500000</v>
      </c>
    </row>
    <row r="8" spans="1:15" ht="17.25" thickTop="1" thickBot="1" x14ac:dyDescent="0.3">
      <c r="A8" s="38" t="s">
        <v>57</v>
      </c>
      <c r="B8" s="39">
        <f t="shared" ref="B8:I8" si="0">B72</f>
        <v>0</v>
      </c>
      <c r="C8" s="39">
        <f t="shared" si="0"/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ref="J8:N8" si="1">J72</f>
        <v>0</v>
      </c>
      <c r="K8" s="39">
        <f t="shared" si="1"/>
        <v>0</v>
      </c>
      <c r="L8" s="39">
        <f t="shared" si="1"/>
        <v>0</v>
      </c>
      <c r="M8" s="39">
        <f t="shared" si="1"/>
        <v>0</v>
      </c>
      <c r="N8" s="39">
        <f t="shared" si="1"/>
        <v>0</v>
      </c>
      <c r="O8" s="39">
        <f>J72</f>
        <v>0</v>
      </c>
    </row>
    <row r="9" spans="1:15" ht="17.25" thickTop="1" thickBot="1" x14ac:dyDescent="0.3">
      <c r="A9" s="40" t="s">
        <v>58</v>
      </c>
      <c r="B9" s="41">
        <f>B7-B8</f>
        <v>12150000</v>
      </c>
      <c r="C9" s="41">
        <f t="shared" ref="C9:I9" si="2">C7-C8</f>
        <v>12150000</v>
      </c>
      <c r="D9" s="41">
        <f t="shared" si="2"/>
        <v>20250000</v>
      </c>
      <c r="E9" s="41">
        <f t="shared" si="2"/>
        <v>28350000</v>
      </c>
      <c r="F9" s="41">
        <f t="shared" si="2"/>
        <v>28350000</v>
      </c>
      <c r="G9" s="41">
        <f t="shared" si="2"/>
        <v>28350000</v>
      </c>
      <c r="H9" s="41">
        <f t="shared" si="2"/>
        <v>28350000</v>
      </c>
      <c r="I9" s="41">
        <f t="shared" si="2"/>
        <v>28350000</v>
      </c>
      <c r="J9" s="41">
        <f t="shared" ref="J9:N9" si="3">J7-J8</f>
        <v>28350000</v>
      </c>
      <c r="K9" s="41">
        <f t="shared" si="3"/>
        <v>32400000</v>
      </c>
      <c r="L9" s="41">
        <f t="shared" si="3"/>
        <v>36450000</v>
      </c>
      <c r="M9" s="41">
        <f t="shared" si="3"/>
        <v>40500000</v>
      </c>
      <c r="N9" s="41">
        <f t="shared" si="3"/>
        <v>40500000</v>
      </c>
      <c r="O9" s="41">
        <f>O7-O8</f>
        <v>364500000</v>
      </c>
    </row>
    <row r="10" spans="1:15" ht="17.25" thickTop="1" thickBot="1" x14ac:dyDescent="0.3">
      <c r="A10" s="38" t="s">
        <v>59</v>
      </c>
      <c r="B10" s="39">
        <f>'Операционные затраты'!E13</f>
        <v>5175500</v>
      </c>
      <c r="C10" s="39">
        <f>$B$10</f>
        <v>5175500</v>
      </c>
      <c r="D10" s="39">
        <f t="shared" ref="D10:N10" si="4">$B$10</f>
        <v>5175500</v>
      </c>
      <c r="E10" s="39">
        <f t="shared" si="4"/>
        <v>5175500</v>
      </c>
      <c r="F10" s="39">
        <f t="shared" si="4"/>
        <v>5175500</v>
      </c>
      <c r="G10" s="39">
        <f t="shared" si="4"/>
        <v>5175500</v>
      </c>
      <c r="H10" s="39">
        <f t="shared" si="4"/>
        <v>5175500</v>
      </c>
      <c r="I10" s="39">
        <f t="shared" si="4"/>
        <v>5175500</v>
      </c>
      <c r="J10" s="39">
        <f t="shared" si="4"/>
        <v>5175500</v>
      </c>
      <c r="K10" s="39">
        <f t="shared" si="4"/>
        <v>5175500</v>
      </c>
      <c r="L10" s="39">
        <f t="shared" si="4"/>
        <v>5175500</v>
      </c>
      <c r="M10" s="39">
        <f t="shared" si="4"/>
        <v>5175500</v>
      </c>
      <c r="N10" s="39">
        <f t="shared" si="4"/>
        <v>5175500</v>
      </c>
      <c r="O10" s="39">
        <f>SUM(B10:N10)</f>
        <v>67281500</v>
      </c>
    </row>
    <row r="11" spans="1:15" ht="17.25" thickTop="1" thickBot="1" x14ac:dyDescent="0.3">
      <c r="A11" s="40" t="s">
        <v>60</v>
      </c>
      <c r="B11" s="41">
        <f t="shared" ref="B11:I11" si="5">B9-B10</f>
        <v>6974500</v>
      </c>
      <c r="C11" s="41">
        <f t="shared" si="5"/>
        <v>6974500</v>
      </c>
      <c r="D11" s="41">
        <f t="shared" si="5"/>
        <v>15074500</v>
      </c>
      <c r="E11" s="41">
        <f t="shared" si="5"/>
        <v>23174500</v>
      </c>
      <c r="F11" s="41">
        <f t="shared" si="5"/>
        <v>23174500</v>
      </c>
      <c r="G11" s="41">
        <f t="shared" si="5"/>
        <v>23174500</v>
      </c>
      <c r="H11" s="41">
        <f t="shared" si="5"/>
        <v>23174500</v>
      </c>
      <c r="I11" s="41">
        <f t="shared" si="5"/>
        <v>23174500</v>
      </c>
      <c r="J11" s="41">
        <f t="shared" ref="J11:N11" si="6">J9-J10</f>
        <v>23174500</v>
      </c>
      <c r="K11" s="41">
        <f t="shared" si="6"/>
        <v>27224500</v>
      </c>
      <c r="L11" s="41">
        <f t="shared" si="6"/>
        <v>31274500</v>
      </c>
      <c r="M11" s="41">
        <f t="shared" si="6"/>
        <v>35324500</v>
      </c>
      <c r="N11" s="41">
        <f t="shared" si="6"/>
        <v>35324500</v>
      </c>
      <c r="O11" s="41">
        <f>O9-O10</f>
        <v>297218500</v>
      </c>
    </row>
    <row r="12" spans="1:15" ht="17.25" thickTop="1" thickBot="1" x14ac:dyDescent="0.3">
      <c r="A12" s="43" t="s">
        <v>69</v>
      </c>
      <c r="B12" s="42">
        <f>B7*1%</f>
        <v>121500</v>
      </c>
      <c r="C12" s="42">
        <f>C7*1%</f>
        <v>121500</v>
      </c>
      <c r="D12" s="42">
        <f t="shared" ref="D12:I12" si="7">D7*1%</f>
        <v>202500</v>
      </c>
      <c r="E12" s="42">
        <f t="shared" si="7"/>
        <v>283500</v>
      </c>
      <c r="F12" s="42">
        <f t="shared" si="7"/>
        <v>283500</v>
      </c>
      <c r="G12" s="42">
        <f t="shared" si="7"/>
        <v>283500</v>
      </c>
      <c r="H12" s="42">
        <f t="shared" si="7"/>
        <v>283500</v>
      </c>
      <c r="I12" s="42">
        <f t="shared" si="7"/>
        <v>283500</v>
      </c>
      <c r="J12" s="42">
        <f t="shared" ref="J12:N12" si="8">J7*1%</f>
        <v>283500</v>
      </c>
      <c r="K12" s="42">
        <f t="shared" si="8"/>
        <v>324000</v>
      </c>
      <c r="L12" s="42">
        <f t="shared" si="8"/>
        <v>364500</v>
      </c>
      <c r="M12" s="42">
        <f t="shared" si="8"/>
        <v>405000</v>
      </c>
      <c r="N12" s="42">
        <f t="shared" si="8"/>
        <v>405000</v>
      </c>
      <c r="O12" s="42">
        <f>SUM(B12:I12)</f>
        <v>1863000</v>
      </c>
    </row>
    <row r="13" spans="1:15" ht="17.25" thickTop="1" thickBot="1" x14ac:dyDescent="0.3">
      <c r="A13" s="43" t="s">
        <v>66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17.25" thickTop="1" thickBot="1" x14ac:dyDescent="0.3">
      <c r="A14" s="40" t="s">
        <v>61</v>
      </c>
      <c r="B14" s="41">
        <f t="shared" ref="B14:I14" si="9">B11-B12</f>
        <v>6853000</v>
      </c>
      <c r="C14" s="41">
        <f t="shared" si="9"/>
        <v>6853000</v>
      </c>
      <c r="D14" s="41">
        <f t="shared" si="9"/>
        <v>14872000</v>
      </c>
      <c r="E14" s="41">
        <f t="shared" si="9"/>
        <v>22891000</v>
      </c>
      <c r="F14" s="41">
        <f t="shared" si="9"/>
        <v>22891000</v>
      </c>
      <c r="G14" s="41">
        <f t="shared" si="9"/>
        <v>22891000</v>
      </c>
      <c r="H14" s="41">
        <f t="shared" si="9"/>
        <v>22891000</v>
      </c>
      <c r="I14" s="41">
        <f t="shared" si="9"/>
        <v>22891000</v>
      </c>
      <c r="J14" s="41">
        <f t="shared" ref="J14:L14" si="10">J11-J12</f>
        <v>22891000</v>
      </c>
      <c r="K14" s="41">
        <f t="shared" si="10"/>
        <v>26900500</v>
      </c>
      <c r="L14" s="41">
        <f t="shared" si="10"/>
        <v>30910000</v>
      </c>
      <c r="M14" s="41">
        <f>M11-M12</f>
        <v>34919500</v>
      </c>
      <c r="N14" s="41">
        <f>N11-N12</f>
        <v>34919500</v>
      </c>
      <c r="O14" s="41">
        <f>O11-O12-O13</f>
        <v>295355500</v>
      </c>
    </row>
    <row r="15" spans="1:15" ht="16.5" thickTop="1" x14ac:dyDescent="0.25"/>
  </sheetData>
  <mergeCells count="2">
    <mergeCell ref="A5:A6"/>
    <mergeCell ref="B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Инвестиции</vt:lpstr>
      <vt:lpstr>Операционные затраты</vt:lpstr>
      <vt:lpstr>ФОТ</vt:lpstr>
      <vt:lpstr>Доходы модель 1 - показы</vt:lpstr>
      <vt:lpstr>Прогноз дох и рас модель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Lindt</dc:creator>
  <cp:lastModifiedBy>lenovo</cp:lastModifiedBy>
  <dcterms:created xsi:type="dcterms:W3CDTF">2024-03-13T15:14:29Z</dcterms:created>
  <dcterms:modified xsi:type="dcterms:W3CDTF">2024-09-13T07:39:27Z</dcterms:modified>
</cp:coreProperties>
</file>