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КРМЗЪ\Downloads\Мастер Майнд\Детсад\"/>
    </mc:Choice>
  </mc:AlternateContent>
  <xr:revisionPtr revIDLastSave="0" documentId="13_ncr:1_{89EB3726-A398-40BE-88CF-40CD94DDCCA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Фин.показатели" sheetId="1" r:id="rId1"/>
    <sheet name="Детализация на 5 лет" sheetId="2" r:id="rId2"/>
    <sheet name="Справочник" sheetId="3" r:id="rId3"/>
    <sheet name="Инвестиции" sheetId="4" r:id="rId4"/>
    <sheet name="Варианты инвестиций" sheetId="5" r:id="rId5"/>
  </sheets>
  <definedNames>
    <definedName name="_xlnm._FilterDatabase" localSheetId="1">'Детализация на 5 лет'!$A$1:$BI$1</definedName>
    <definedName name="_xlnm._FilterDatabase" localSheetId="2" hidden="1">Справочник!$A$1:$G$125</definedName>
    <definedName name="MmExcelLinker_AF6EFB6D_F192_4914_8F72_03271605EAF8" localSheetId="1">'Детализация на 5 лет'!#REF!</definedName>
    <definedName name="MmExcelLinker_AF6EFB6D_F192_4914_8F72_03271605EAF8">#REF!</definedName>
    <definedName name="Восьмой">#REF!</definedName>
    <definedName name="Второй">#REF!</definedName>
    <definedName name="Двеннадцатый">#REF!</definedName>
    <definedName name="Девятый">#REF!</definedName>
    <definedName name="Десятый">#REF!</definedName>
    <definedName name="Одиннадцатый">#REF!</definedName>
    <definedName name="Пакеты" localSheetId="1">#REF!,#REF!,#REF!</definedName>
    <definedName name="Пакеты">#REF!,#REF!,#REF!</definedName>
    <definedName name="Пакеты1">#REF!</definedName>
    <definedName name="Первый">#REF!</definedName>
    <definedName name="Пятый">#REF!</definedName>
    <definedName name="Седьмой">#REF!</definedName>
    <definedName name="Третий">#REF!</definedName>
    <definedName name="Четвёртый">#REF!</definedName>
    <definedName name="Шесто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G29" i="2"/>
  <c r="H6" i="5"/>
  <c r="H4" i="5"/>
  <c r="F6" i="5"/>
  <c r="F4" i="5"/>
  <c r="C47" i="2"/>
  <c r="BJ47" i="2" s="1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47" i="2"/>
  <c r="D46" i="2"/>
  <c r="E46" i="2"/>
  <c r="H46" i="2"/>
  <c r="I46" i="2"/>
  <c r="J46" i="2"/>
  <c r="K46" i="2"/>
  <c r="L46" i="2"/>
  <c r="M46" i="2"/>
  <c r="N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E57" i="2"/>
  <c r="BJ40" i="2"/>
  <c r="AK39" i="2"/>
  <c r="BI42" i="2"/>
  <c r="BI41" i="2"/>
  <c r="AW42" i="2"/>
  <c r="AW41" i="2"/>
  <c r="AK41" i="2"/>
  <c r="AK42" i="2" s="1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F26" i="2" s="1"/>
  <c r="BG22" i="2"/>
  <c r="BH22" i="2"/>
  <c r="BI22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AK4" i="2"/>
  <c r="AK12" i="2" s="1"/>
  <c r="AL4" i="2"/>
  <c r="AL12" i="2" s="1"/>
  <c r="AM4" i="2"/>
  <c r="AM12" i="2" s="1"/>
  <c r="AN4" i="2"/>
  <c r="AN12" i="2" s="1"/>
  <c r="AO4" i="2"/>
  <c r="AO12" i="2" s="1"/>
  <c r="AP4" i="2"/>
  <c r="AP12" i="2" s="1"/>
  <c r="AQ4" i="2"/>
  <c r="AQ12" i="2" s="1"/>
  <c r="AR4" i="2"/>
  <c r="AR12" i="2" s="1"/>
  <c r="AS4" i="2"/>
  <c r="AS12" i="2" s="1"/>
  <c r="AT4" i="2"/>
  <c r="AT12" i="2" s="1"/>
  <c r="AU4" i="2"/>
  <c r="AV4" i="2"/>
  <c r="AV12" i="2" s="1"/>
  <c r="AW4" i="2"/>
  <c r="AW12" i="2" s="1"/>
  <c r="AX4" i="2"/>
  <c r="AX12" i="2" s="1"/>
  <c r="AY4" i="2"/>
  <c r="AY12" i="2" s="1"/>
  <c r="AZ4" i="2"/>
  <c r="AZ12" i="2" s="1"/>
  <c r="BA4" i="2"/>
  <c r="BB4" i="2"/>
  <c r="BB12" i="2" s="1"/>
  <c r="BC4" i="2"/>
  <c r="BC12" i="2" s="1"/>
  <c r="BD4" i="2"/>
  <c r="BD12" i="2" s="1"/>
  <c r="BE4" i="2"/>
  <c r="BE12" i="2" s="1"/>
  <c r="BF4" i="2"/>
  <c r="BF12" i="2" s="1"/>
  <c r="BG4" i="2"/>
  <c r="BG12" i="2" s="1"/>
  <c r="BH4" i="2"/>
  <c r="BH12" i="2" s="1"/>
  <c r="BI4" i="2"/>
  <c r="AK5" i="2"/>
  <c r="AK10" i="2" s="1"/>
  <c r="AL5" i="2"/>
  <c r="AL10" i="2" s="1"/>
  <c r="AM5" i="2"/>
  <c r="AM10" i="2" s="1"/>
  <c r="AN5" i="2"/>
  <c r="AN10" i="2" s="1"/>
  <c r="AO5" i="2"/>
  <c r="AO10" i="2" s="1"/>
  <c r="AP5" i="2"/>
  <c r="AP10" i="2" s="1"/>
  <c r="AQ5" i="2"/>
  <c r="AQ10" i="2" s="1"/>
  <c r="AR5" i="2"/>
  <c r="AR10" i="2" s="1"/>
  <c r="AS5" i="2"/>
  <c r="AS10" i="2" s="1"/>
  <c r="AT5" i="2"/>
  <c r="AT10" i="2" s="1"/>
  <c r="AU5" i="2"/>
  <c r="AU10" i="2" s="1"/>
  <c r="AV5" i="2"/>
  <c r="AV10" i="2" s="1"/>
  <c r="AW5" i="2"/>
  <c r="AW10" i="2" s="1"/>
  <c r="AX5" i="2"/>
  <c r="AX10" i="2" s="1"/>
  <c r="AY5" i="2"/>
  <c r="AY10" i="2" s="1"/>
  <c r="AZ5" i="2"/>
  <c r="AZ10" i="2" s="1"/>
  <c r="BA5" i="2"/>
  <c r="BA10" i="2" s="1"/>
  <c r="BB5" i="2"/>
  <c r="BB10" i="2" s="1"/>
  <c r="BC5" i="2"/>
  <c r="BC10" i="2" s="1"/>
  <c r="BD5" i="2"/>
  <c r="BD10" i="2" s="1"/>
  <c r="BE5" i="2"/>
  <c r="BE10" i="2" s="1"/>
  <c r="BF5" i="2"/>
  <c r="BF10" i="2" s="1"/>
  <c r="BG5" i="2"/>
  <c r="BG10" i="2" s="1"/>
  <c r="BH5" i="2"/>
  <c r="BI5" i="2"/>
  <c r="BI10" i="2" s="1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H10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AU12" i="2"/>
  <c r="BA12" i="2"/>
  <c r="BI12" i="2"/>
  <c r="C9" i="4"/>
  <c r="B50" i="3"/>
  <c r="B51" i="3"/>
  <c r="C6" i="4"/>
  <c r="C5" i="4"/>
  <c r="C4" i="4"/>
  <c r="BE26" i="2" l="1"/>
  <c r="AX26" i="2"/>
  <c r="AP26" i="2"/>
  <c r="AV26" i="2"/>
  <c r="AW26" i="2"/>
  <c r="BD8" i="2"/>
  <c r="BC26" i="2"/>
  <c r="BD26" i="2"/>
  <c r="AV8" i="2"/>
  <c r="AU26" i="2"/>
  <c r="BB8" i="2"/>
  <c r="BC8" i="2"/>
  <c r="AM8" i="2"/>
  <c r="BI8" i="2"/>
  <c r="AS8" i="2"/>
  <c r="AN26" i="2"/>
  <c r="AO26" i="2"/>
  <c r="AN8" i="2"/>
  <c r="AM26" i="2"/>
  <c r="AT8" i="2"/>
  <c r="AL8" i="2"/>
  <c r="AU8" i="2"/>
  <c r="BA8" i="2"/>
  <c r="AK8" i="2"/>
  <c r="BI26" i="2"/>
  <c r="BA26" i="2"/>
  <c r="AS26" i="2"/>
  <c r="AK26" i="2"/>
  <c r="BH26" i="2"/>
  <c r="AZ26" i="2"/>
  <c r="AR26" i="2"/>
  <c r="BG26" i="2"/>
  <c r="AY26" i="2"/>
  <c r="AQ26" i="2"/>
  <c r="AL26" i="2"/>
  <c r="BB26" i="2"/>
  <c r="AT26" i="2"/>
  <c r="BH8" i="2"/>
  <c r="BG8" i="2"/>
  <c r="AY8" i="2"/>
  <c r="AQ8" i="2"/>
  <c r="AR8" i="2"/>
  <c r="BF8" i="2"/>
  <c r="AX8" i="2"/>
  <c r="AP8" i="2"/>
  <c r="AZ8" i="2"/>
  <c r="BE8" i="2"/>
  <c r="AW8" i="2"/>
  <c r="AO8" i="2"/>
  <c r="B81" i="3"/>
  <c r="AY37" i="2" l="1"/>
  <c r="AY19" i="2"/>
  <c r="AY15" i="2" s="1"/>
  <c r="BA19" i="2"/>
  <c r="BA15" i="2" s="1"/>
  <c r="BA37" i="2"/>
  <c r="AV19" i="2"/>
  <c r="AV15" i="2" s="1"/>
  <c r="AV37" i="2"/>
  <c r="BF19" i="2"/>
  <c r="BF15" i="2" s="1"/>
  <c r="BF37" i="2"/>
  <c r="BC19" i="2"/>
  <c r="BC15" i="2" s="1"/>
  <c r="BC37" i="2"/>
  <c r="AR37" i="2"/>
  <c r="AR19" i="2"/>
  <c r="AR15" i="2" s="1"/>
  <c r="AQ15" i="2"/>
  <c r="AN19" i="2"/>
  <c r="AN15" i="2" s="1"/>
  <c r="AN37" i="2"/>
  <c r="BB19" i="2"/>
  <c r="BB15" i="2" s="1"/>
  <c r="BB37" i="2"/>
  <c r="AW37" i="2"/>
  <c r="AW19" i="2"/>
  <c r="AW15" i="2" s="1"/>
  <c r="BE37" i="2"/>
  <c r="BE19" i="2"/>
  <c r="BE15" i="2" s="1"/>
  <c r="BG37" i="2"/>
  <c r="BG19" i="2"/>
  <c r="BG15" i="2" s="1"/>
  <c r="AS19" i="2"/>
  <c r="AS15" i="2" s="1"/>
  <c r="AS37" i="2"/>
  <c r="AZ37" i="2"/>
  <c r="AZ19" i="2"/>
  <c r="AZ15" i="2" s="1"/>
  <c r="BH37" i="2"/>
  <c r="BH19" i="2"/>
  <c r="BH15" i="2" s="1"/>
  <c r="AU19" i="2"/>
  <c r="AU15" i="2" s="1"/>
  <c r="AU37" i="2"/>
  <c r="BI19" i="2"/>
  <c r="BI15" i="2" s="1"/>
  <c r="BI37" i="2"/>
  <c r="AP19" i="2"/>
  <c r="AP15" i="2" s="1"/>
  <c r="AP37" i="2"/>
  <c r="AL19" i="2"/>
  <c r="AL15" i="2" s="1"/>
  <c r="AL37" i="2"/>
  <c r="BD19" i="2"/>
  <c r="BD15" i="2" s="1"/>
  <c r="BD37" i="2"/>
  <c r="AX37" i="2"/>
  <c r="AX19" i="2"/>
  <c r="AX15" i="2" s="1"/>
  <c r="AT37" i="2"/>
  <c r="AT19" i="2"/>
  <c r="AT15" i="2" s="1"/>
  <c r="AM19" i="2"/>
  <c r="AM15" i="2" s="1"/>
  <c r="AM37" i="2"/>
  <c r="AO37" i="2"/>
  <c r="AO19" i="2"/>
  <c r="AO15" i="2" s="1"/>
  <c r="AQ37" i="2"/>
  <c r="AQ19" i="2"/>
  <c r="AK19" i="2"/>
  <c r="AK15" i="2" s="1"/>
  <c r="AK37" i="2"/>
  <c r="B11" i="2"/>
  <c r="M11" i="2"/>
  <c r="H3" i="3"/>
  <c r="B15" i="3"/>
  <c r="B14" i="3" s="1"/>
  <c r="B3" i="3" s="1"/>
  <c r="C13" i="1" s="1"/>
  <c r="G3" i="3"/>
  <c r="B2" i="3"/>
  <c r="B6" i="3"/>
  <c r="C8" i="4" s="1"/>
  <c r="E37" i="1"/>
  <c r="E32" i="1"/>
  <c r="B234" i="3"/>
  <c r="B196" i="3"/>
  <c r="B195" i="3"/>
  <c r="B194" i="3" s="1"/>
  <c r="B258" i="3"/>
  <c r="B257" i="3"/>
  <c r="B251" i="3"/>
  <c r="B236" i="3"/>
  <c r="B227" i="3"/>
  <c r="B209" i="3"/>
  <c r="B172" i="3"/>
  <c r="B163" i="3"/>
  <c r="B113" i="3"/>
  <c r="B45" i="3"/>
  <c r="B42" i="3"/>
  <c r="B40" i="3"/>
  <c r="B31" i="3"/>
  <c r="B27" i="3"/>
  <c r="B23" i="3"/>
  <c r="AJ16" i="2" s="1"/>
  <c r="G21" i="3"/>
  <c r="G20" i="3"/>
  <c r="G17" i="3" s="1"/>
  <c r="G19" i="3"/>
  <c r="G18" i="3"/>
  <c r="G16" i="3"/>
  <c r="G15" i="3"/>
  <c r="G14" i="3"/>
  <c r="G13" i="3"/>
  <c r="G12" i="3"/>
  <c r="G11" i="3"/>
  <c r="G6" i="3"/>
  <c r="G4" i="3"/>
  <c r="G2" i="3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B28" i="2" s="1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21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E36" i="1" s="1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L11" i="2"/>
  <c r="K11" i="2"/>
  <c r="J11" i="2"/>
  <c r="I11" i="2"/>
  <c r="H11" i="2"/>
  <c r="G11" i="2"/>
  <c r="F11" i="2"/>
  <c r="E11" i="2"/>
  <c r="D11" i="2"/>
  <c r="C11" i="2"/>
  <c r="A11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J5" i="2"/>
  <c r="AJ10" i="2" s="1"/>
  <c r="AI5" i="2"/>
  <c r="AI10" i="2" s="1"/>
  <c r="AH5" i="2"/>
  <c r="AH10" i="2" s="1"/>
  <c r="AG5" i="2"/>
  <c r="AG10" i="2" s="1"/>
  <c r="AF5" i="2"/>
  <c r="AF10" i="2" s="1"/>
  <c r="AE5" i="2"/>
  <c r="AE10" i="2" s="1"/>
  <c r="AD5" i="2"/>
  <c r="AD10" i="2" s="1"/>
  <c r="AC5" i="2"/>
  <c r="AC10" i="2" s="1"/>
  <c r="AB5" i="2"/>
  <c r="AB10" i="2" s="1"/>
  <c r="AA5" i="2"/>
  <c r="AA10" i="2" s="1"/>
  <c r="Z5" i="2"/>
  <c r="Z10" i="2" s="1"/>
  <c r="Y5" i="2"/>
  <c r="Y10" i="2" s="1"/>
  <c r="X5" i="2"/>
  <c r="X10" i="2" s="1"/>
  <c r="W5" i="2"/>
  <c r="W10" i="2" s="1"/>
  <c r="V5" i="2"/>
  <c r="V10" i="2" s="1"/>
  <c r="U5" i="2"/>
  <c r="U10" i="2" s="1"/>
  <c r="T5" i="2"/>
  <c r="T10" i="2" s="1"/>
  <c r="S5" i="2"/>
  <c r="S10" i="2" s="1"/>
  <c r="R5" i="2"/>
  <c r="R10" i="2" s="1"/>
  <c r="Q5" i="2"/>
  <c r="Q10" i="2" s="1"/>
  <c r="P5" i="2"/>
  <c r="P10" i="2" s="1"/>
  <c r="O5" i="2"/>
  <c r="O10" i="2" s="1"/>
  <c r="N5" i="2"/>
  <c r="M5" i="2"/>
  <c r="M10" i="2" s="1"/>
  <c r="L5" i="2"/>
  <c r="L10" i="2" s="1"/>
  <c r="K5" i="2"/>
  <c r="K10" i="2" s="1"/>
  <c r="J5" i="2"/>
  <c r="J10" i="2" s="1"/>
  <c r="I5" i="2"/>
  <c r="I10" i="2" s="1"/>
  <c r="H5" i="2"/>
  <c r="H10" i="2" s="1"/>
  <c r="G5" i="2"/>
  <c r="G10" i="2" s="1"/>
  <c r="F5" i="2"/>
  <c r="F10" i="2" s="1"/>
  <c r="E5" i="2"/>
  <c r="E10" i="2" s="1"/>
  <c r="D5" i="2"/>
  <c r="D10" i="2" s="1"/>
  <c r="C5" i="2"/>
  <c r="C10" i="2" s="1"/>
  <c r="B5" i="2"/>
  <c r="B10" i="2" s="1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E44" i="1"/>
  <c r="D43" i="1"/>
  <c r="C43" i="1"/>
  <c r="D42" i="1"/>
  <c r="C42" i="1"/>
  <c r="D41" i="1"/>
  <c r="C41" i="1"/>
  <c r="D40" i="1"/>
  <c r="C40" i="1"/>
  <c r="D26" i="1"/>
  <c r="C26" i="1"/>
  <c r="D25" i="1"/>
  <c r="E25" i="1" s="1"/>
  <c r="C25" i="1"/>
  <c r="D24" i="1"/>
  <c r="C24" i="1"/>
  <c r="D23" i="1"/>
  <c r="C23" i="1"/>
  <c r="D21" i="1"/>
  <c r="D20" i="1"/>
  <c r="D19" i="1"/>
  <c r="E19" i="1" s="1"/>
  <c r="C16" i="1"/>
  <c r="C18" i="1" s="1"/>
  <c r="AL31" i="2" l="1"/>
  <c r="AK28" i="2"/>
  <c r="AK14" i="2"/>
  <c r="AK38" i="2" s="1"/>
  <c r="E41" i="1"/>
  <c r="E24" i="1"/>
  <c r="E43" i="1"/>
  <c r="E23" i="1"/>
  <c r="E42" i="1"/>
  <c r="C20" i="1"/>
  <c r="E20" i="1" s="1"/>
  <c r="AF12" i="2"/>
  <c r="AF8" i="2" s="1"/>
  <c r="AF37" i="2" s="1"/>
  <c r="E40" i="1"/>
  <c r="E45" i="1" s="1"/>
  <c r="H26" i="2"/>
  <c r="P26" i="2"/>
  <c r="X26" i="2"/>
  <c r="AG26" i="2"/>
  <c r="E34" i="1"/>
  <c r="Z26" i="2"/>
  <c r="B26" i="2"/>
  <c r="AH26" i="2"/>
  <c r="J26" i="2"/>
  <c r="R26" i="2"/>
  <c r="AF26" i="2"/>
  <c r="G26" i="2"/>
  <c r="O26" i="2"/>
  <c r="W26" i="2"/>
  <c r="AE26" i="2"/>
  <c r="E26" i="2"/>
  <c r="M26" i="2"/>
  <c r="U26" i="2"/>
  <c r="AC26" i="2"/>
  <c r="C26" i="2"/>
  <c r="S26" i="2"/>
  <c r="D26" i="2"/>
  <c r="T26" i="2"/>
  <c r="AJ26" i="2"/>
  <c r="K26" i="2"/>
  <c r="AA26" i="2"/>
  <c r="L26" i="2"/>
  <c r="AB26" i="2"/>
  <c r="F26" i="2"/>
  <c r="N26" i="2"/>
  <c r="AD26" i="2"/>
  <c r="AI26" i="2"/>
  <c r="G9" i="3"/>
  <c r="V26" i="2"/>
  <c r="E26" i="1"/>
  <c r="E27" i="1" s="1"/>
  <c r="AB12" i="2"/>
  <c r="AB8" i="2" s="1"/>
  <c r="AB37" i="2" s="1"/>
  <c r="AJ12" i="2"/>
  <c r="AJ8" i="2" s="1"/>
  <c r="AJ28" i="2" s="1"/>
  <c r="D12" i="2"/>
  <c r="D8" i="2" s="1"/>
  <c r="D37" i="2" s="1"/>
  <c r="L12" i="2"/>
  <c r="L8" i="2" s="1"/>
  <c r="L37" i="2" s="1"/>
  <c r="T12" i="2"/>
  <c r="T8" i="2" s="1"/>
  <c r="T37" i="2" s="1"/>
  <c r="G10" i="3"/>
  <c r="AE27" i="2" s="1"/>
  <c r="P16" i="2"/>
  <c r="H16" i="2"/>
  <c r="S16" i="2"/>
  <c r="AI16" i="2"/>
  <c r="D16" i="2"/>
  <c r="AB16" i="2"/>
  <c r="E16" i="2"/>
  <c r="M16" i="2"/>
  <c r="U16" i="2"/>
  <c r="AC16" i="2"/>
  <c r="L16" i="2"/>
  <c r="T16" i="2"/>
  <c r="F16" i="2"/>
  <c r="N16" i="2"/>
  <c r="V16" i="2"/>
  <c r="AD16" i="2"/>
  <c r="G16" i="2"/>
  <c r="O16" i="2"/>
  <c r="W16" i="2"/>
  <c r="AE16" i="2"/>
  <c r="X16" i="2"/>
  <c r="AF16" i="2"/>
  <c r="I16" i="2"/>
  <c r="Q16" i="2"/>
  <c r="Y16" i="2"/>
  <c r="AG16" i="2"/>
  <c r="J16" i="2"/>
  <c r="R16" i="2"/>
  <c r="Z16" i="2"/>
  <c r="AH16" i="2"/>
  <c r="K16" i="2"/>
  <c r="AA16" i="2"/>
  <c r="E38" i="1"/>
  <c r="B5" i="3"/>
  <c r="C7" i="4" s="1"/>
  <c r="O12" i="2"/>
  <c r="I12" i="2"/>
  <c r="I8" i="2" s="1"/>
  <c r="I37" i="2" s="1"/>
  <c r="Q12" i="2"/>
  <c r="Q8" i="2" s="1"/>
  <c r="Q37" i="2" s="1"/>
  <c r="Y12" i="2"/>
  <c r="Y8" i="2" s="1"/>
  <c r="Y37" i="2" s="1"/>
  <c r="AG12" i="2"/>
  <c r="AG8" i="2" s="1"/>
  <c r="D28" i="2"/>
  <c r="AE12" i="2"/>
  <c r="AE8" i="2" s="1"/>
  <c r="AE19" i="2" s="1"/>
  <c r="B12" i="2"/>
  <c r="B8" i="2" s="1"/>
  <c r="J12" i="2"/>
  <c r="J8" i="2" s="1"/>
  <c r="J37" i="2" s="1"/>
  <c r="R12" i="2"/>
  <c r="R8" i="2" s="1"/>
  <c r="R37" i="2" s="1"/>
  <c r="Z12" i="2"/>
  <c r="Z8" i="2" s="1"/>
  <c r="Z19" i="2" s="1"/>
  <c r="AH12" i="2"/>
  <c r="AH8" i="2" s="1"/>
  <c r="C12" i="2"/>
  <c r="C8" i="2" s="1"/>
  <c r="C37" i="2" s="1"/>
  <c r="K12" i="2"/>
  <c r="K8" i="2" s="1"/>
  <c r="K37" i="2" s="1"/>
  <c r="S12" i="2"/>
  <c r="S8" i="2" s="1"/>
  <c r="S28" i="2" s="1"/>
  <c r="AA12" i="2"/>
  <c r="AA8" i="2" s="1"/>
  <c r="AI12" i="2"/>
  <c r="AI8" i="2" s="1"/>
  <c r="AI37" i="2" s="1"/>
  <c r="E12" i="2"/>
  <c r="E8" i="2" s="1"/>
  <c r="E37" i="2" s="1"/>
  <c r="M12" i="2"/>
  <c r="M8" i="2" s="1"/>
  <c r="M37" i="2" s="1"/>
  <c r="U12" i="2"/>
  <c r="U8" i="2" s="1"/>
  <c r="U37" i="2" s="1"/>
  <c r="AC12" i="2"/>
  <c r="AC8" i="2" s="1"/>
  <c r="N10" i="2"/>
  <c r="F12" i="2"/>
  <c r="F8" i="2" s="1"/>
  <c r="F37" i="2" s="1"/>
  <c r="N12" i="2"/>
  <c r="V12" i="2"/>
  <c r="V8" i="2" s="1"/>
  <c r="V37" i="2" s="1"/>
  <c r="AD12" i="2"/>
  <c r="AD8" i="2" s="1"/>
  <c r="W12" i="2"/>
  <c r="W8" i="2" s="1"/>
  <c r="W37" i="2" s="1"/>
  <c r="G12" i="2"/>
  <c r="G8" i="2" s="1"/>
  <c r="G37" i="2" s="1"/>
  <c r="H12" i="2"/>
  <c r="H8" i="2" s="1"/>
  <c r="P12" i="2"/>
  <c r="P8" i="2" s="1"/>
  <c r="P37" i="2" s="1"/>
  <c r="X12" i="2"/>
  <c r="X8" i="2" s="1"/>
  <c r="X37" i="2" s="1"/>
  <c r="C28" i="2"/>
  <c r="Y26" i="2"/>
  <c r="Q26" i="2"/>
  <c r="I26" i="2"/>
  <c r="L28" i="2"/>
  <c r="T28" i="2"/>
  <c r="AB28" i="2"/>
  <c r="J28" i="2"/>
  <c r="Z28" i="2"/>
  <c r="R28" i="2"/>
  <c r="AH28" i="2"/>
  <c r="AC28" i="2"/>
  <c r="U28" i="2"/>
  <c r="M28" i="2"/>
  <c r="F28" i="2"/>
  <c r="V28" i="2"/>
  <c r="AD28" i="2"/>
  <c r="K28" i="2"/>
  <c r="E28" i="2"/>
  <c r="O28" i="2"/>
  <c r="W28" i="2"/>
  <c r="AE28" i="2"/>
  <c r="H28" i="2"/>
  <c r="P28" i="2"/>
  <c r="X28" i="2"/>
  <c r="AF28" i="2"/>
  <c r="I28" i="2"/>
  <c r="Q28" i="2"/>
  <c r="Y28" i="2"/>
  <c r="AG28" i="2"/>
  <c r="AM31" i="2" l="1"/>
  <c r="AL28" i="2"/>
  <c r="AL14" i="2" s="1"/>
  <c r="AL38" i="2" s="1"/>
  <c r="AL39" i="2" s="1"/>
  <c r="B37" i="2"/>
  <c r="E53" i="2"/>
  <c r="C10" i="4"/>
  <c r="B36" i="2" s="1"/>
  <c r="C11" i="1"/>
  <c r="H37" i="2"/>
  <c r="B1" i="3"/>
  <c r="AF19" i="2"/>
  <c r="S37" i="2"/>
  <c r="N8" i="2"/>
  <c r="N37" i="2" s="1"/>
  <c r="AH19" i="2"/>
  <c r="AH37" i="2"/>
  <c r="AD19" i="2"/>
  <c r="AD37" i="2"/>
  <c r="AC37" i="2"/>
  <c r="AC19" i="2"/>
  <c r="AA28" i="2"/>
  <c r="AA19" i="2"/>
  <c r="AG37" i="2"/>
  <c r="AG19" i="2"/>
  <c r="AJ37" i="2"/>
  <c r="AG27" i="2"/>
  <c r="Y27" i="2"/>
  <c r="Y15" i="2" s="1"/>
  <c r="Y14" i="2" s="1"/>
  <c r="Y38" i="2" s="1"/>
  <c r="Y39" i="2" s="1"/>
  <c r="W27" i="2"/>
  <c r="W15" i="2" s="1"/>
  <c r="W14" i="2" s="1"/>
  <c r="W38" i="2" s="1"/>
  <c r="W39" i="2" s="1"/>
  <c r="AC27" i="2"/>
  <c r="B27" i="2"/>
  <c r="Q27" i="2"/>
  <c r="Q15" i="2" s="1"/>
  <c r="Q14" i="2" s="1"/>
  <c r="Q38" i="2" s="1"/>
  <c r="Q39" i="2" s="1"/>
  <c r="AI27" i="2"/>
  <c r="O27" i="2"/>
  <c r="O15" i="2" s="1"/>
  <c r="O14" i="2" s="1"/>
  <c r="O38" i="2" s="1"/>
  <c r="AD27" i="2"/>
  <c r="U27" i="2"/>
  <c r="U15" i="2" s="1"/>
  <c r="U14" i="2" s="1"/>
  <c r="U38" i="2" s="1"/>
  <c r="U39" i="2" s="1"/>
  <c r="I27" i="2"/>
  <c r="I15" i="2" s="1"/>
  <c r="I14" i="2" s="1"/>
  <c r="I38" i="2" s="1"/>
  <c r="I39" i="2" s="1"/>
  <c r="C27" i="2"/>
  <c r="C15" i="2" s="1"/>
  <c r="C14" i="2" s="1"/>
  <c r="C38" i="2" s="1"/>
  <c r="C39" i="2" s="1"/>
  <c r="C46" i="2" s="1"/>
  <c r="R27" i="2"/>
  <c r="R15" i="2" s="1"/>
  <c r="R14" i="2" s="1"/>
  <c r="R38" i="2" s="1"/>
  <c r="R39" i="2" s="1"/>
  <c r="AJ27" i="2"/>
  <c r="N27" i="2"/>
  <c r="N15" i="2" s="1"/>
  <c r="E27" i="2"/>
  <c r="E15" i="2" s="1"/>
  <c r="E14" i="2" s="1"/>
  <c r="E38" i="2" s="1"/>
  <c r="E39" i="2" s="1"/>
  <c r="AB27" i="2"/>
  <c r="X27" i="2"/>
  <c r="X15" i="2" s="1"/>
  <c r="X14" i="2" s="1"/>
  <c r="X38" i="2" s="1"/>
  <c r="X39" i="2" s="1"/>
  <c r="S27" i="2"/>
  <c r="S15" i="2" s="1"/>
  <c r="S14" i="2" s="1"/>
  <c r="S38" i="2" s="1"/>
  <c r="D27" i="2"/>
  <c r="D15" i="2" s="1"/>
  <c r="D14" i="2" s="1"/>
  <c r="D38" i="2" s="1"/>
  <c r="D39" i="2" s="1"/>
  <c r="J27" i="2"/>
  <c r="J15" i="2" s="1"/>
  <c r="J14" i="2" s="1"/>
  <c r="J38" i="2" s="1"/>
  <c r="J39" i="2" s="1"/>
  <c r="V27" i="2"/>
  <c r="V15" i="2" s="1"/>
  <c r="V14" i="2" s="1"/>
  <c r="V38" i="2" s="1"/>
  <c r="V39" i="2" s="1"/>
  <c r="AF27" i="2"/>
  <c r="K27" i="2"/>
  <c r="K15" i="2" s="1"/>
  <c r="K14" i="2" s="1"/>
  <c r="K38" i="2" s="1"/>
  <c r="K39" i="2" s="1"/>
  <c r="F27" i="2"/>
  <c r="F15" i="2" s="1"/>
  <c r="F14" i="2" s="1"/>
  <c r="F38" i="2" s="1"/>
  <c r="F39" i="2" s="1"/>
  <c r="F46" i="2" s="1"/>
  <c r="T27" i="2"/>
  <c r="T15" i="2" s="1"/>
  <c r="T14" i="2" s="1"/>
  <c r="T38" i="2" s="1"/>
  <c r="T39" i="2" s="1"/>
  <c r="AH27" i="2"/>
  <c r="P27" i="2"/>
  <c r="P15" i="2" s="1"/>
  <c r="P14" i="2" s="1"/>
  <c r="P38" i="2" s="1"/>
  <c r="P39" i="2" s="1"/>
  <c r="AA27" i="2"/>
  <c r="G27" i="2"/>
  <c r="G15" i="2" s="1"/>
  <c r="M27" i="2"/>
  <c r="M15" i="2" s="1"/>
  <c r="M14" i="2" s="1"/>
  <c r="M38" i="2" s="1"/>
  <c r="M39" i="2" s="1"/>
  <c r="L27" i="2"/>
  <c r="L15" i="2" s="1"/>
  <c r="L14" i="2" s="1"/>
  <c r="L38" i="2" s="1"/>
  <c r="L39" i="2" s="1"/>
  <c r="Z27" i="2"/>
  <c r="Z15" i="2" s="1"/>
  <c r="Z14" i="2" s="1"/>
  <c r="Z38" i="2" s="1"/>
  <c r="H27" i="2"/>
  <c r="H15" i="2" s="1"/>
  <c r="H14" i="2" s="1"/>
  <c r="AE15" i="2"/>
  <c r="AE14" i="2" s="1"/>
  <c r="AE38" i="2" s="1"/>
  <c r="E35" i="1"/>
  <c r="AJ19" i="2"/>
  <c r="AB19" i="2"/>
  <c r="AA37" i="2"/>
  <c r="Z37" i="2"/>
  <c r="AI19" i="2"/>
  <c r="AE37" i="2"/>
  <c r="AI28" i="2"/>
  <c r="N28" i="2"/>
  <c r="G28" i="2"/>
  <c r="AN31" i="2" l="1"/>
  <c r="AM28" i="2"/>
  <c r="AM14" i="2" s="1"/>
  <c r="AM38" i="2" s="1"/>
  <c r="AM39" i="2" s="1"/>
  <c r="H38" i="2"/>
  <c r="H39" i="2" s="1"/>
  <c r="AA15" i="2"/>
  <c r="AA14" i="2" s="1"/>
  <c r="AA38" i="2" s="1"/>
  <c r="AA39" i="2" s="1"/>
  <c r="AF15" i="2"/>
  <c r="AF14" i="2" s="1"/>
  <c r="AF38" i="2" s="1"/>
  <c r="AF39" i="2" s="1"/>
  <c r="AH15" i="2"/>
  <c r="AH14" i="2" s="1"/>
  <c r="AH38" i="2" s="1"/>
  <c r="AH39" i="2" s="1"/>
  <c r="B15" i="2"/>
  <c r="E33" i="1"/>
  <c r="E47" i="1" s="1"/>
  <c r="AJ15" i="2"/>
  <c r="AJ14" i="2" s="1"/>
  <c r="AJ38" i="2" s="1"/>
  <c r="AJ39" i="2" s="1"/>
  <c r="AD15" i="2"/>
  <c r="AD14" i="2" s="1"/>
  <c r="AD38" i="2" s="1"/>
  <c r="AD39" i="2" s="1"/>
  <c r="AG15" i="2"/>
  <c r="AG14" i="2" s="1"/>
  <c r="AG38" i="2" s="1"/>
  <c r="AG39" i="2" s="1"/>
  <c r="Z39" i="2"/>
  <c r="S39" i="2"/>
  <c r="AE39" i="2"/>
  <c r="AC15" i="2"/>
  <c r="AC14" i="2" s="1"/>
  <c r="AC38" i="2" s="1"/>
  <c r="AC39" i="2" s="1"/>
  <c r="AB15" i="2"/>
  <c r="AB14" i="2" s="1"/>
  <c r="AB38" i="2" s="1"/>
  <c r="AB39" i="2" s="1"/>
  <c r="AI15" i="2"/>
  <c r="AI14" i="2" s="1"/>
  <c r="AI38" i="2" s="1"/>
  <c r="N14" i="2"/>
  <c r="N38" i="2" s="1"/>
  <c r="N39" i="2" s="1"/>
  <c r="G14" i="2"/>
  <c r="G38" i="2" s="1"/>
  <c r="G39" i="2" s="1"/>
  <c r="G46" i="2" s="1"/>
  <c r="AO31" i="2" l="1"/>
  <c r="AN28" i="2"/>
  <c r="AN14" i="2" s="1"/>
  <c r="AN38" i="2" s="1"/>
  <c r="AN39" i="2" s="1"/>
  <c r="B14" i="2"/>
  <c r="B38" i="2" s="1"/>
  <c r="B39" i="2" s="1"/>
  <c r="AI39" i="2"/>
  <c r="E48" i="1"/>
  <c r="B46" i="2" l="1"/>
  <c r="M41" i="2"/>
  <c r="M42" i="2" s="1"/>
  <c r="AP31" i="2"/>
  <c r="AO28" i="2"/>
  <c r="AO14" i="2" s="1"/>
  <c r="AO38" i="2" s="1"/>
  <c r="AO39" i="2" s="1"/>
  <c r="E54" i="2"/>
  <c r="B40" i="2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E55" i="2"/>
  <c r="E56" i="2" s="1"/>
  <c r="AQ31" i="2" l="1"/>
  <c r="AP28" i="2"/>
  <c r="AP14" i="2" s="1"/>
  <c r="AP38" i="2" s="1"/>
  <c r="AP39" i="2" s="1"/>
  <c r="AR31" i="2" l="1"/>
  <c r="AQ28" i="2"/>
  <c r="AQ14" i="2" s="1"/>
  <c r="AQ38" i="2" s="1"/>
  <c r="AQ39" i="2" s="1"/>
  <c r="AS31" i="2" l="1"/>
  <c r="AR28" i="2"/>
  <c r="AR14" i="2" s="1"/>
  <c r="AR38" i="2" s="1"/>
  <c r="AR39" i="2" s="1"/>
  <c r="AT31" i="2" l="1"/>
  <c r="AS28" i="2"/>
  <c r="AS14" i="2" s="1"/>
  <c r="AS38" i="2" s="1"/>
  <c r="AS39" i="2" s="1"/>
  <c r="AU31" i="2" l="1"/>
  <c r="AT28" i="2"/>
  <c r="AT14" i="2" s="1"/>
  <c r="AT38" i="2" s="1"/>
  <c r="AT39" i="2" s="1"/>
  <c r="AV31" i="2" l="1"/>
  <c r="AU28" i="2"/>
  <c r="AU14" i="2" s="1"/>
  <c r="AU38" i="2" s="1"/>
  <c r="AU39" i="2" s="1"/>
  <c r="AW31" i="2" l="1"/>
  <c r="AV28" i="2"/>
  <c r="AV14" i="2" s="1"/>
  <c r="AV38" i="2" s="1"/>
  <c r="AV39" i="2" s="1"/>
  <c r="AX31" i="2" l="1"/>
  <c r="AW28" i="2"/>
  <c r="AW14" i="2" s="1"/>
  <c r="AW38" i="2" s="1"/>
  <c r="AW39" i="2" s="1"/>
  <c r="AY31" i="2" l="1"/>
  <c r="AX28" i="2"/>
  <c r="AX14" i="2" s="1"/>
  <c r="AX38" i="2" s="1"/>
  <c r="AX39" i="2" s="1"/>
  <c r="AZ31" i="2" l="1"/>
  <c r="AY28" i="2"/>
  <c r="AY14" i="2" s="1"/>
  <c r="AY38" i="2" s="1"/>
  <c r="AY39" i="2" s="1"/>
  <c r="BA31" i="2" l="1"/>
  <c r="AZ28" i="2"/>
  <c r="AZ14" i="2" s="1"/>
  <c r="AZ38" i="2" s="1"/>
  <c r="AZ39" i="2" s="1"/>
  <c r="BB31" i="2" l="1"/>
  <c r="BA28" i="2"/>
  <c r="BA14" i="2" s="1"/>
  <c r="BA38" i="2" s="1"/>
  <c r="BA39" i="2" s="1"/>
  <c r="BC31" i="2" l="1"/>
  <c r="BB28" i="2"/>
  <c r="BB14" i="2" s="1"/>
  <c r="BB38" i="2" s="1"/>
  <c r="BB39" i="2" s="1"/>
  <c r="BD31" i="2" l="1"/>
  <c r="BC28" i="2"/>
  <c r="BC14" i="2" s="1"/>
  <c r="BC38" i="2" s="1"/>
  <c r="BC39" i="2" s="1"/>
  <c r="BE31" i="2" l="1"/>
  <c r="BD28" i="2"/>
  <c r="BD14" i="2" s="1"/>
  <c r="BD38" i="2" s="1"/>
  <c r="BD39" i="2" s="1"/>
  <c r="BF31" i="2" l="1"/>
  <c r="BE28" i="2"/>
  <c r="BE14" i="2" s="1"/>
  <c r="BE38" i="2" s="1"/>
  <c r="BE39" i="2" s="1"/>
  <c r="BG31" i="2" l="1"/>
  <c r="BF28" i="2"/>
  <c r="BF14" i="2" s="1"/>
  <c r="BF38" i="2" s="1"/>
  <c r="BF39" i="2" s="1"/>
  <c r="BH31" i="2" l="1"/>
  <c r="BG28" i="2"/>
  <c r="BG14" i="2" s="1"/>
  <c r="BG38" i="2" s="1"/>
  <c r="BG39" i="2" s="1"/>
  <c r="BI31" i="2" l="1"/>
  <c r="BH28" i="2"/>
  <c r="BH14" i="2" s="1"/>
  <c r="BH38" i="2" s="1"/>
  <c r="BH39" i="2" s="1"/>
  <c r="BI28" i="2" l="1"/>
  <c r="BI14" i="2" s="1"/>
  <c r="BI38" i="2" s="1"/>
  <c r="BI39" i="2" s="1"/>
  <c r="BJ41" i="2" l="1"/>
  <c r="C21" i="1"/>
  <c r="E21" i="1" s="1"/>
  <c r="E29" i="1" s="1"/>
  <c r="O11" i="2"/>
  <c r="O8" i="2"/>
  <c r="O37" i="2" s="1"/>
  <c r="O39" i="2" s="1"/>
  <c r="O46" i="2" l="1"/>
  <c r="BJ46" i="2" s="1"/>
  <c r="Y41" i="2"/>
  <c r="Y42" i="2" s="1"/>
  <c r="BJ42" i="2" s="1"/>
  <c r="F5" i="5" s="1"/>
  <c r="H5" i="5" s="1"/>
  <c r="BJ39" i="2"/>
  <c r="O40" i="2"/>
  <c r="E30" i="1"/>
  <c r="E51" i="1" s="1"/>
  <c r="E50" i="1"/>
  <c r="P40" i="2" l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AQ40" i="2" s="1"/>
  <c r="AR40" i="2" s="1"/>
  <c r="AS40" i="2" s="1"/>
  <c r="AT40" i="2" s="1"/>
  <c r="AU40" i="2" s="1"/>
  <c r="AV40" i="2" s="1"/>
  <c r="AW40" i="2" s="1"/>
  <c r="AX40" i="2" s="1"/>
  <c r="AY40" i="2" s="1"/>
  <c r="AZ40" i="2" s="1"/>
  <c r="BA40" i="2" s="1"/>
  <c r="BB40" i="2" s="1"/>
  <c r="BC40" i="2" s="1"/>
  <c r="BD40" i="2" s="1"/>
  <c r="BE40" i="2" s="1"/>
  <c r="BF40" i="2" s="1"/>
  <c r="BG40" i="2" s="1"/>
  <c r="BH40" i="2" s="1"/>
  <c r="BI40" i="2" s="1"/>
  <c r="C6" i="1" s="1"/>
</calcChain>
</file>

<file path=xl/sharedStrings.xml><?xml version="1.0" encoding="utf-8"?>
<sst xmlns="http://schemas.openxmlformats.org/spreadsheetml/2006/main" count="496" uniqueCount="405">
  <si>
    <t>ФИНАНСОВЫЕ ПОКАЗАТЕЛИ</t>
  </si>
  <si>
    <t xml:space="preserve">Индивидуальный финансовый план открытия вы можете получить на следующем этапе работы по Вашему проекту. </t>
  </si>
  <si>
    <t>Среднестатистическая модель является оптимальной, достижимой, основанной на фактических данных по сети.</t>
  </si>
  <si>
    <t>Основные показатели бизнес-модели</t>
  </si>
  <si>
    <t>Срок окупаемости</t>
  </si>
  <si>
    <t>Месяц старта</t>
  </si>
  <si>
    <t>Юридическое лицо</t>
  </si>
  <si>
    <t>ИП, вновь зарегестрированное</t>
  </si>
  <si>
    <t>Система налогооблажения</t>
  </si>
  <si>
    <t>УСН 6% + патент</t>
  </si>
  <si>
    <t>Паушальный взнос</t>
  </si>
  <si>
    <t>Реклама на старте</t>
  </si>
  <si>
    <t>Кол-во</t>
  </si>
  <si>
    <t>Стоимость</t>
  </si>
  <si>
    <t>Максимальное количество детей</t>
  </si>
  <si>
    <t>Количество детей для расчета</t>
  </si>
  <si>
    <t>Заполняемость расчетная</t>
  </si>
  <si>
    <t>Посещение полного дня</t>
  </si>
  <si>
    <t>Посещение неполного дня</t>
  </si>
  <si>
    <t>Вступительный взнос</t>
  </si>
  <si>
    <t>Дополнительные услуги</t>
  </si>
  <si>
    <t>Посещение выходного дня</t>
  </si>
  <si>
    <t>Разовые посещения</t>
  </si>
  <si>
    <t>Проведение праздников</t>
  </si>
  <si>
    <t>Развивающие занятия</t>
  </si>
  <si>
    <t>Итого дополнительные услуги</t>
  </si>
  <si>
    <t>СРЕДНИЙ показатель за 1 МЕСЯЦ</t>
  </si>
  <si>
    <t>СРЕДНИЙ показатель за 1 год</t>
  </si>
  <si>
    <t>Аренда и коммунальные платежи</t>
  </si>
  <si>
    <t>ФОТ на приходящий персонал</t>
  </si>
  <si>
    <t>Питание (своя кухня)</t>
  </si>
  <si>
    <t>Реклама, маркетинг, PR</t>
  </si>
  <si>
    <t>Хоз. бытовые расходы</t>
  </si>
  <si>
    <t>Бухгалтерия аутсорсинг</t>
  </si>
  <si>
    <t>Связь и административные расходы</t>
  </si>
  <si>
    <t>ФОТ на постоянный персонал:</t>
  </si>
  <si>
    <t>Администратор</t>
  </si>
  <si>
    <t>Воспитатель</t>
  </si>
  <si>
    <t>Повар</t>
  </si>
  <si>
    <t>Премии</t>
  </si>
  <si>
    <t>СРЕДНИЙ ПОКАЗАТЕЛЬ за 1 месяц</t>
  </si>
  <si>
    <t>СРЕДНИЙ ПОКАЗАТЕЛЬ за 1 год</t>
  </si>
  <si>
    <t>Месяц проекта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</si>
  <si>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</si>
  <si>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</si>
  <si>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</si>
  <si>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</si>
  <si>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</si>
  <si>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</si>
  <si>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</si>
  <si>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</si>
  <si>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</si>
  <si>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</si>
  <si>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</si>
  <si>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</si>
  <si>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Сезонность</t>
  </si>
  <si>
    <t>Заполняемость</t>
  </si>
  <si>
    <t>Количество новых договоров</t>
  </si>
  <si>
    <t>Абонементы, полный день</t>
  </si>
  <si>
    <t>Абонементы, неполный день</t>
  </si>
  <si>
    <t>Расходы на приходящий персонал</t>
  </si>
  <si>
    <t>Налоги</t>
  </si>
  <si>
    <t>Помощник воспитателя</t>
  </si>
  <si>
    <t>НДФЛ+ПФР+ФСС</t>
  </si>
  <si>
    <t xml:space="preserve">Кухня </t>
  </si>
  <si>
    <t>Санузел детский</t>
  </si>
  <si>
    <t>Офисная техника</t>
  </si>
  <si>
    <t>Оборудование и инвентарь</t>
  </si>
  <si>
    <t>Доставка и инфраструктура</t>
  </si>
  <si>
    <t>Стоимость абонемента, полный день</t>
  </si>
  <si>
    <t>Стоимость абонемента, неполный день</t>
  </si>
  <si>
    <t>Доп. взнос ИП в ПФР</t>
  </si>
  <si>
    <t>Фиксированный взнос ИП в ПФР</t>
  </si>
  <si>
    <t>Аренда, площадь (м^2)</t>
  </si>
  <si>
    <t>Патент</t>
  </si>
  <si>
    <t>Вступительный взнос за одного ребенка</t>
  </si>
  <si>
    <t>Цена</t>
  </si>
  <si>
    <t>Хозтовары</t>
  </si>
  <si>
    <t>Материалы для занятий,расходники</t>
  </si>
  <si>
    <t>Глажка белья</t>
  </si>
  <si>
    <t>Персонал в штате:</t>
  </si>
  <si>
    <t>З/п</t>
  </si>
  <si>
    <t>Преподаватель хореографии, фитнеса</t>
  </si>
  <si>
    <t>Английский язык</t>
  </si>
  <si>
    <t>Логопед</t>
  </si>
  <si>
    <t>Расходы на подбор персонала в первые два месяца</t>
  </si>
  <si>
    <t>Педиатр</t>
  </si>
  <si>
    <t>Преподаватель музыки</t>
  </si>
  <si>
    <t>Психолог</t>
  </si>
  <si>
    <t>Абонентская Пожарная безопасность</t>
  </si>
  <si>
    <t>Типография, печатная продукция, фирменные элементы для оформления сада</t>
  </si>
  <si>
    <t>Обслуживание Р/С</t>
  </si>
  <si>
    <t>Локальная настройка Yandex Direct и GA</t>
  </si>
  <si>
    <t>Телефон</t>
  </si>
  <si>
    <t>Интернет-ресурсы</t>
  </si>
  <si>
    <t>Интернет</t>
  </si>
  <si>
    <t>Наружняя реклама(расклейка, партнерская реклама и др)</t>
  </si>
  <si>
    <t>Ведение социальных сетей Instagram и Вконтакте (1 месяц)</t>
  </si>
  <si>
    <t>Организация торжественного открытия</t>
  </si>
  <si>
    <t xml:space="preserve">Расчет питания </t>
  </si>
  <si>
    <t>Покупка брендированной продукции для клиентов и персонала</t>
  </si>
  <si>
    <t>Питание на 1 ребенка</t>
  </si>
  <si>
    <t>Специальные рекламные акции</t>
  </si>
  <si>
    <t xml:space="preserve">      - Воспитатель</t>
  </si>
  <si>
    <t xml:space="preserve">      - Помощник воспитателя</t>
  </si>
  <si>
    <t xml:space="preserve">      - Повар</t>
  </si>
  <si>
    <t xml:space="preserve">      - Премиальный фонд</t>
  </si>
  <si>
    <t xml:space="preserve">      - НДФЛ+ПФР+ФСС</t>
  </si>
  <si>
    <t>Инвестиции</t>
  </si>
  <si>
    <t>ДОХОДЫ</t>
  </si>
  <si>
    <t>РАСХОДЫ</t>
  </si>
  <si>
    <t>ЧИСТАЯ ПРИБЫЛЬ</t>
  </si>
  <si>
    <t>Финансовый результат</t>
  </si>
  <si>
    <t>КОЛИЧЕСТВЕННЫЕ ПОКАЗАТЕЛИ</t>
  </si>
  <si>
    <t>Терминал оплаты</t>
  </si>
  <si>
    <t>* Переменные расходы</t>
  </si>
  <si>
    <t>* Постоянные расходы</t>
  </si>
  <si>
    <t>З/п с 3 мес</t>
  </si>
  <si>
    <t xml:space="preserve">      - Коммунальные расходы</t>
  </si>
  <si>
    <t xml:space="preserve">      - Аренда</t>
  </si>
  <si>
    <t xml:space="preserve">      - Бухгалтерия аутсорсинг</t>
  </si>
  <si>
    <t xml:space="preserve">      - Связь и административные расходы</t>
  </si>
  <si>
    <t xml:space="preserve">      - Роялти</t>
  </si>
  <si>
    <t>Налоги, 1 раз в год</t>
  </si>
  <si>
    <t>Хоз. бытовые расходы, ежемесячно</t>
  </si>
  <si>
    <t>Связь и административные расходы, ежемесячно</t>
  </si>
  <si>
    <t>Связь и административные расходы, разово</t>
  </si>
  <si>
    <t>Стартовые ИНВЕСТИЦИИ</t>
  </si>
  <si>
    <t xml:space="preserve">      - В помещение</t>
  </si>
  <si>
    <t xml:space="preserve">      - Реклама, маркетинг, PR</t>
  </si>
  <si>
    <t>Реклама, маркетинг, PR, ежемесячно</t>
  </si>
  <si>
    <t>Реклама, маркетинг, PR, на старте проекта</t>
  </si>
  <si>
    <t>Приходящий персонал, в неделю</t>
  </si>
  <si>
    <t>Дополнительные услуги, в неделю</t>
  </si>
  <si>
    <t xml:space="preserve">Кол-во </t>
  </si>
  <si>
    <t>Помощник Воспитателя</t>
  </si>
  <si>
    <t>НДФЛ и Страховые взносы на обязательные виды страхования</t>
  </si>
  <si>
    <t>Количество договоров полного дня</t>
  </si>
  <si>
    <t>Количество договоров неполного дня</t>
  </si>
  <si>
    <t>Оборудовавние ПБ</t>
  </si>
  <si>
    <t>Видеонаблюдение</t>
  </si>
  <si>
    <t>Защитные экраны на радиаторы и заглушки</t>
  </si>
  <si>
    <t>Техническое оснащение (телевизор, регистратор, видеодомофон)</t>
  </si>
  <si>
    <t>Младшая группа 1-3 года</t>
  </si>
  <si>
    <t>Кухня 1шт</t>
  </si>
  <si>
    <t>Мольберт 1шт</t>
  </si>
  <si>
    <t>Полка для поделок 1шт</t>
  </si>
  <si>
    <t>Доска магнитная для рисунков 1шт</t>
  </si>
  <si>
    <t>Потолочный светильник 6шт</t>
  </si>
  <si>
    <t>Полка соты 2копл</t>
  </si>
  <si>
    <t>Ковер 1шт</t>
  </si>
  <si>
    <t>Диванчик 1шт</t>
  </si>
  <si>
    <t>Контейнеры для мелечевки 2шт</t>
  </si>
  <si>
    <t>Занавески 4шт</t>
  </si>
  <si>
    <t>Тюль 4шт</t>
  </si>
  <si>
    <t>Карниз потолочный 4шт</t>
  </si>
  <si>
    <t>Матрас 12шт</t>
  </si>
  <si>
    <t>Одеяло 12шт</t>
  </si>
  <si>
    <t>Постельное белье 24шт</t>
  </si>
  <si>
    <t xml:space="preserve">Средняя группа 3-5 лет	</t>
  </si>
  <si>
    <t>Столы ясельные вариант дешевле, рост 1</t>
  </si>
  <si>
    <t>Кресла бескаркасные 2шт</t>
  </si>
  <si>
    <t>Виг Вам 1шт</t>
  </si>
  <si>
    <t>Рецеркулятор 1шт</t>
  </si>
  <si>
    <t>Полотенце для тела 24шт</t>
  </si>
  <si>
    <t>Подушка 12шт</t>
  </si>
  <si>
    <t xml:space="preserve">Старшая группа 5-7 лет	</t>
  </si>
  <si>
    <t>Кровать 12 шт</t>
  </si>
  <si>
    <t>Стеллаж из двух секций с восемью полками 2шт</t>
  </si>
  <si>
    <t>Стеллаж средняя с  девятью полками 2шт</t>
  </si>
  <si>
    <t>Столы  рост 2 6шт</t>
  </si>
  <si>
    <t>Стулья рост 2 12шт</t>
  </si>
  <si>
    <t>Стол для опытов + стул + скамья 1 шт</t>
  </si>
  <si>
    <t>Стеллаж деревянный 1шт</t>
  </si>
  <si>
    <t>Контейнер 12 шт</t>
  </si>
  <si>
    <t>Настенная панель 1шт</t>
  </si>
  <si>
    <t>Настенная панель, комбинация 1шт</t>
  </si>
  <si>
    <t>Рейлинг 2шт</t>
  </si>
  <si>
    <t>Стол детский 1шь</t>
  </si>
  <si>
    <t>Табурет детский 2шт</t>
  </si>
  <si>
    <t>Контейнер д/игрушек 1шт</t>
  </si>
  <si>
    <t>Стол + 2 стула 1шт</t>
  </si>
  <si>
    <t>Доска-мольберт 1шт</t>
  </si>
  <si>
    <t>Детский письменный стол 1шт</t>
  </si>
  <si>
    <t>Скамья детская 1шт</t>
  </si>
  <si>
    <t>Комбинация д/хранения 1шт</t>
  </si>
  <si>
    <t>Контейнер 6шт</t>
  </si>
  <si>
    <t>Игра  1шт</t>
  </si>
  <si>
    <t>Вешалка 1шт</t>
  </si>
  <si>
    <t>Литература книги 68шт</t>
  </si>
  <si>
    <t>Дидактические игры   81 вид</t>
  </si>
  <si>
    <t>Спортинвентарь  37 вид</t>
  </si>
  <si>
    <t>Игрушки 78 вид</t>
  </si>
  <si>
    <t>Дидактический материал 12вид</t>
  </si>
  <si>
    <t>Концелярия 27 вид</t>
  </si>
  <si>
    <t>Полотенца для рук 30шт</t>
  </si>
  <si>
    <t>Наматраскик 24шт</t>
  </si>
  <si>
    <t>Подсобка</t>
  </si>
  <si>
    <t>Шкаф для постельного белья 1шт</t>
  </si>
  <si>
    <t>Стеллаж  2шт</t>
  </si>
  <si>
    <t>Утюг  1шт</t>
  </si>
  <si>
    <t>Гладильная доска 1шт</t>
  </si>
  <si>
    <t>Пылесос 1шт</t>
  </si>
  <si>
    <t>Сушилка для постельного белья 2шт</t>
  </si>
  <si>
    <t>Шкаф для уборочного инвентаря 1шт</t>
  </si>
  <si>
    <t>Шкаф сушильный 1шт</t>
  </si>
  <si>
    <t xml:space="preserve">Ведра для мытья полов 3шт </t>
  </si>
  <si>
    <t>Ведра для туалетов 4 шт</t>
  </si>
  <si>
    <t>Ведра мытье холлов и коридоров 1шт</t>
  </si>
  <si>
    <t>Ведро мытье спортзала 1шт</t>
  </si>
  <si>
    <t>Ведро мытье кухня 1шт</t>
  </si>
  <si>
    <t>Ведро мытье столовая1 шт</t>
  </si>
  <si>
    <t>Доп ведра для мытья других помещений 1шт</t>
  </si>
  <si>
    <t>Ведро для мытья ветоши 1шт</t>
  </si>
  <si>
    <t>Швабры 11шт</t>
  </si>
  <si>
    <t>Тазы для мытья игрушек 6 шт</t>
  </si>
  <si>
    <t>Тазы для мытья столов 4 шт</t>
  </si>
  <si>
    <t>Тазы для пыли 15шт</t>
  </si>
  <si>
    <t>Тряпки  10уп</t>
  </si>
  <si>
    <t>Щетки для мытья игрушек 9шт</t>
  </si>
  <si>
    <t>Ершики для унитазов 7шт</t>
  </si>
  <si>
    <t>Контейнеры для чистых тряпок 20шт</t>
  </si>
  <si>
    <t>Перчатки 16 шт</t>
  </si>
  <si>
    <t>Для обработки поверхностей 1шт</t>
  </si>
  <si>
    <t>Кожный антисептик 2шт</t>
  </si>
  <si>
    <t>Мыло детское любое 6 шт</t>
  </si>
  <si>
    <t>Порошок стиральный  1шт</t>
  </si>
  <si>
    <t xml:space="preserve">Зал спортивный и музыкальный 	</t>
  </si>
  <si>
    <t>Одежда для сна</t>
  </si>
  <si>
    <t>Спорт костюмы</t>
  </si>
  <si>
    <t>Шведская стенка 2шт</t>
  </si>
  <si>
    <t>Мат гимнастический 2шт</t>
  </si>
  <si>
    <t>Скамья гимнастическая 2,4 до 3 метров 2шт</t>
  </si>
  <si>
    <t>Стеллажи для оборудования 2шт</t>
  </si>
  <si>
    <t>Контейнеры для мячей и спортинвентаря 4шт</t>
  </si>
  <si>
    <t>Контейнеры для музыкальных инструментов 6шт</t>
  </si>
  <si>
    <t>Стулья взрослые 20шт</t>
  </si>
  <si>
    <t>Синтезатор 1шт</t>
  </si>
  <si>
    <t>Стойка к синтезатору 1шт</t>
  </si>
  <si>
    <t>Музыкальный центр 1шт</t>
  </si>
  <si>
    <t>Шторы кирпичного цвета 4шт</t>
  </si>
  <si>
    <t>Гардина 4шт</t>
  </si>
  <si>
    <t>Кухонный гарнитур</t>
  </si>
  <si>
    <t>Кухонные электроприборы (водонагреватель)</t>
  </si>
  <si>
    <t>Раковины цельнометаллические двойные</t>
  </si>
  <si>
    <t>Раковина с пьедисталом</t>
  </si>
  <si>
    <t>Светильники кухня</t>
  </si>
  <si>
    <t>Плита 1шт</t>
  </si>
  <si>
    <t>Вытяжной зонт + двигатель</t>
  </si>
  <si>
    <t>Стол производственный 2шт</t>
  </si>
  <si>
    <t>Стеллаж для посуды 2шт</t>
  </si>
  <si>
    <t>Ванна моечная двухсекционная 2шт</t>
  </si>
  <si>
    <t>Кран с гибким шлангом 1шт</t>
  </si>
  <si>
    <t>Посудомойка 1шт</t>
  </si>
  <si>
    <t>Тележка 1шт</t>
  </si>
  <si>
    <t>Холодильник 1шт</t>
  </si>
  <si>
    <t>Мелкая бытовая техника 6 наим</t>
  </si>
  <si>
    <t>Посуда 30 наим</t>
  </si>
  <si>
    <t>Сантехника (унитазы "Малыш" 3 ед., поддон, раковина 3 ед.)</t>
  </si>
  <si>
    <t>Инвентарь для уборки, в т.ч. дез.средства</t>
  </si>
  <si>
    <t>Электрические приборы (стиральная машина, водонагреватель)</t>
  </si>
  <si>
    <t>Палатенечница на 36 чел.</t>
  </si>
  <si>
    <t>Перегородки цветные</t>
  </si>
  <si>
    <t>Горшечница на 12 горшков</t>
  </si>
  <si>
    <t>Плитка на стены</t>
  </si>
  <si>
    <t>Горшки (10-12 шт.)</t>
  </si>
  <si>
    <t xml:space="preserve">Рецепшен	</t>
  </si>
  <si>
    <t xml:space="preserve">Шкафчики двухярусные 4шт </t>
  </si>
  <si>
    <t>Банкетки для шкафчиков 4шт</t>
  </si>
  <si>
    <t>Коврики рядом с банкетками 4шт</t>
  </si>
  <si>
    <t>Вешалка для родителей 2шт</t>
  </si>
  <si>
    <t>Ресепшн 1шт</t>
  </si>
  <si>
    <t>Стул администратора 1шт</t>
  </si>
  <si>
    <t>Столик к дивану 1шт</t>
  </si>
  <si>
    <t>Для бахил мусорное ведро 1шт</t>
  </si>
  <si>
    <t>Контейнер для чистых бахил 1шт</t>
  </si>
  <si>
    <t>Фитостена 1шт</t>
  </si>
  <si>
    <t>Люстра 1шт</t>
  </si>
  <si>
    <t>Полки соты 1 копл</t>
  </si>
  <si>
    <t>Кулер</t>
  </si>
  <si>
    <t>Ноутбук 1шт</t>
  </si>
  <si>
    <t>Принтер 1 шт</t>
  </si>
  <si>
    <t xml:space="preserve">Ламинатор 2шт </t>
  </si>
  <si>
    <t>Пленка для ламинатора 1шт</t>
  </si>
  <si>
    <t>Канц.товары: бумага, ручки, степлер и скобы и т.д.</t>
  </si>
  <si>
    <t xml:space="preserve">Соляная пещера </t>
  </si>
  <si>
    <t>Оформление (Коврики в плейсы)</t>
  </si>
  <si>
    <t>Рулонные шторы коралл на 10 окон</t>
  </si>
  <si>
    <t>Специализированное оборудование( бактерицидная лампа).</t>
  </si>
  <si>
    <t>Пылесос</t>
  </si>
  <si>
    <t>Форма для персонала</t>
  </si>
  <si>
    <t>Аптечка</t>
  </si>
  <si>
    <t>Цветы на стену-настенный огород</t>
  </si>
  <si>
    <t>Столик рядом с настенным огородом</t>
  </si>
  <si>
    <t>Хэштег на каждый из Place (6шт)</t>
  </si>
  <si>
    <t xml:space="preserve">     -  Оборудование</t>
  </si>
  <si>
    <t>Аренда, цена (тг/м^2 )</t>
  </si>
  <si>
    <t>Коммунальные расходы, тг/мес</t>
  </si>
  <si>
    <t>Премиальный фонд с третьего мес (тг/мес)</t>
  </si>
  <si>
    <t>Роялти 117600 тг</t>
  </si>
  <si>
    <t>Доходы за 1 месяц (среднемес значение за 2й год работы), тг</t>
  </si>
  <si>
    <t>Сумма (тг.) за 1 мес.</t>
  </si>
  <si>
    <t>ИТОГО ВЫРУЧКА, тг.:</t>
  </si>
  <si>
    <t>Расходы за 1 месяц, тг</t>
  </si>
  <si>
    <t>ИТОГО РАСХОДЫ, тг.:</t>
  </si>
  <si>
    <t>ПРИБЫЛЬ, тг.:</t>
  </si>
  <si>
    <t>Оборудование помещения</t>
  </si>
  <si>
    <t>Ремонт помещения</t>
  </si>
  <si>
    <t xml:space="preserve">      - Аренда оплата за 1 месяца</t>
  </si>
  <si>
    <t xml:space="preserve">      - Паушальный взнос 2000 000</t>
  </si>
  <si>
    <t>Выплата инвестору</t>
  </si>
  <si>
    <t xml:space="preserve">      - Паушальный взнос </t>
  </si>
  <si>
    <t xml:space="preserve">      - Ремонт помещения</t>
  </si>
  <si>
    <t>ИТОГО ИНВЕСТИЦИЙ</t>
  </si>
  <si>
    <t>№п/п</t>
  </si>
  <si>
    <t>Наименование расходов</t>
  </si>
  <si>
    <t>Сумма,  тенге</t>
  </si>
  <si>
    <t xml:space="preserve">Стоимость компании </t>
  </si>
  <si>
    <t>ROI</t>
  </si>
  <si>
    <t>рентабельность проекта</t>
  </si>
  <si>
    <t>Если показатель ROI выше нуля, значит проект компании приносит прибыль. Ниже нуля — бизнес работает в убыток. А если ROI = 0, значит компания достигла точки безубыточности.</t>
  </si>
  <si>
    <t>Выручка за 12 мес</t>
  </si>
  <si>
    <t>Расходы за 12 мес</t>
  </si>
  <si>
    <t>Чистая прибыль за 12 мес</t>
  </si>
  <si>
    <t>Рентабельность чистой прибыли за 12 мес</t>
  </si>
  <si>
    <t>Кровать 24шт</t>
  </si>
  <si>
    <t>Стеллаж с  девятью полками 2шт</t>
  </si>
  <si>
    <t>Стулья рост 1 24шт</t>
  </si>
  <si>
    <t>Стеллаж 2шт</t>
  </si>
  <si>
    <t>Кухня 2шт</t>
  </si>
  <si>
    <t>Мольберт 2шт</t>
  </si>
  <si>
    <t>Полка для поделок 2шт</t>
  </si>
  <si>
    <t>Доска магнитная для рисунков 2шт</t>
  </si>
  <si>
    <t>Модуль игровой Замок 2шт</t>
  </si>
  <si>
    <t>Светильник потолочный 12шт</t>
  </si>
  <si>
    <t>Полка домики 2 копл</t>
  </si>
  <si>
    <t>Ковер 2шт</t>
  </si>
  <si>
    <t>Подвесные кресла 6шт</t>
  </si>
  <si>
    <t>Кресла бескаркасные 4шт</t>
  </si>
  <si>
    <t>Краска для меловой стены 4 шт</t>
  </si>
  <si>
    <t>Виг Вам 2шт</t>
  </si>
  <si>
    <t>Стол Кварцевый песок (мал)2шт</t>
  </si>
  <si>
    <t>Стол Кварцевый песок (бол) 2шт</t>
  </si>
  <si>
    <t>Контейнеры для мелечевки 4шт</t>
  </si>
  <si>
    <t>Занавески 8шт</t>
  </si>
  <si>
    <t>Рецеркулятор 2шт</t>
  </si>
  <si>
    <t>Литература книги 110шт</t>
  </si>
  <si>
    <t>Дидактические игры   142 вид</t>
  </si>
  <si>
    <t>Спортинвентарь  56 вид</t>
  </si>
  <si>
    <t>Игрушки 130 вид</t>
  </si>
  <si>
    <t>Дидактический материал 42 вид</t>
  </si>
  <si>
    <t>Полотенце для тела 48шт</t>
  </si>
  <si>
    <t>Подушка 24шт</t>
  </si>
  <si>
    <t>Одеяло 24шт</t>
  </si>
  <si>
    <t>Постельное белье 48шт</t>
  </si>
  <si>
    <t>Стеллаж ясли с  тремя полками  2шт</t>
  </si>
  <si>
    <t>Стеллаж из трех секций с шестью полками 2шт</t>
  </si>
  <si>
    <t>Столы рост 0 8шт</t>
  </si>
  <si>
    <t>Стулья  рост 0 24шт</t>
  </si>
  <si>
    <t>Модуль Арбуз 2шт</t>
  </si>
  <si>
    <t>Потолочный светильник 12шт</t>
  </si>
  <si>
    <t>Полка соты 4копл</t>
  </si>
  <si>
    <t>Ковер2шт</t>
  </si>
  <si>
    <t>Кресла безкаркасные 4шт</t>
  </si>
  <si>
    <t>Диванчик 2шт</t>
  </si>
  <si>
    <t>Тюль 8шт</t>
  </si>
  <si>
    <t>Карниз потолочный 8шт</t>
  </si>
  <si>
    <t>Дидактические игры   90 вид</t>
  </si>
  <si>
    <t>Спортинвентарь  46 вид</t>
  </si>
  <si>
    <t>Игрушки 116 вид</t>
  </si>
  <si>
    <t>Дидактический материал 62 вид</t>
  </si>
  <si>
    <t>Концелярия 40 вид</t>
  </si>
  <si>
    <t>Нагрудники для кормления 24шт</t>
  </si>
  <si>
    <t>Матрас 24шт</t>
  </si>
  <si>
    <t xml:space="preserve">      - Кэшаут</t>
  </si>
  <si>
    <t>(если доля)</t>
  </si>
  <si>
    <t>(если роялти займ)</t>
  </si>
  <si>
    <t>Доход инвестора</t>
  </si>
  <si>
    <t>(инвест-ый займ)</t>
  </si>
  <si>
    <t>Доход инвестора Х2</t>
  </si>
  <si>
    <t>50% от прибыли</t>
  </si>
  <si>
    <r>
      <t xml:space="preserve">Доля инвестора в компании, </t>
    </r>
    <r>
      <rPr>
        <sz val="11"/>
        <color rgb="FFFF0000"/>
        <rFont val="Calibri"/>
        <family val="2"/>
        <charset val="204"/>
      </rPr>
      <t>10%</t>
    </r>
  </si>
  <si>
    <t>Чистая прибыль за 60 месяцев</t>
  </si>
  <si>
    <t>Инвестиционный займ</t>
  </si>
  <si>
    <t>Роялти займ</t>
  </si>
  <si>
    <t>Чистая прибыль , тенге</t>
  </si>
  <si>
    <t>Срок инвестиций, месяцев</t>
  </si>
  <si>
    <t>Сумма инвестиций, тенге</t>
  </si>
  <si>
    <t>Способы инвестиций</t>
  </si>
  <si>
    <t>Процент прибыли, %</t>
  </si>
  <si>
    <t>В конце срока займа</t>
  </si>
  <si>
    <t>Доля в компании, 10%</t>
  </si>
  <si>
    <t>Бессрочно</t>
  </si>
  <si>
    <t>Без выплаты</t>
  </si>
  <si>
    <t>ОД заложен в ежемесячной выплате</t>
  </si>
  <si>
    <t>12% годовых</t>
  </si>
  <si>
    <t>Январь</t>
  </si>
  <si>
    <t>Стартовые инвестиции, кэшаут</t>
  </si>
  <si>
    <t>Выплаты в % по договору, 60 месяцев</t>
  </si>
  <si>
    <t>Срок выплаты ОД</t>
  </si>
  <si>
    <t>ИТОГО К ВЫПЛАТЕ ИНВЕСТОРУ (ОД, %), тенге</t>
  </si>
  <si>
    <t>50% от чистой прибыли в течение 60 месяцев, 10% от чистой прибыли - бессрочно</t>
  </si>
  <si>
    <t xml:space="preserve">50% от  чистой прибыли </t>
  </si>
  <si>
    <t>Без привязки к сроку займа, не более 120 месяцев</t>
  </si>
  <si>
    <t>Без привязки к сроку выплаты, но не более 120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</si>
</sst>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\-??\ _₽_-;_-@_-"/>
    <numFmt numFmtId="165" formatCode="_-* #,##0.00_-;\-* #,##0.00_-;_-* \-??_-;_-@_-"/>
    <numFmt numFmtId="166" formatCode="#,##0_ ;\-#,##0\ "/>
    <numFmt numFmtId="167" formatCode="_-* #,##0_-;\-* #,##0_-;_-* \-??_-;_-@_-"/>
    <numFmt numFmtId="168" formatCode="_-* #,##0.00\ _₽_-;\-* #,##0.00\ _₽_-;_-* &quot;-&quot;??\ _₽_-;_-@_-"/>
    <numFmt numFmtId="169" formatCode="_-* #,##0\ _₽_-;\-* #,##0\ _₽_-;_-* &quot;-&quot;??\ _₽_-;_-@_-"/>
  </numFmts>
  <fonts count="36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PT Sans"/>
      <family val="2"/>
      <charset val="204"/>
    </font>
    <font>
      <b/>
      <sz val="10"/>
      <name val="PT Sans"/>
      <family val="2"/>
      <charset val="204"/>
    </font>
    <font>
      <sz val="10"/>
      <color rgb="FF000000"/>
      <name val="PT Sans"/>
      <family val="2"/>
      <charset val="204"/>
    </font>
    <font>
      <sz val="10"/>
      <name val="PT Sans"/>
      <family val="2"/>
      <charset val="204"/>
    </font>
    <font>
      <sz val="10"/>
      <color rgb="FFC55A11"/>
      <name val="PT Sans"/>
      <family val="2"/>
      <charset val="204"/>
    </font>
    <font>
      <b/>
      <sz val="10"/>
      <color rgb="FF00B050"/>
      <name val="PT Sans"/>
      <family val="2"/>
      <charset val="204"/>
    </font>
    <font>
      <sz val="10"/>
      <color rgb="FF00B050"/>
      <name val="PT Sans"/>
      <family val="2"/>
      <charset val="204"/>
    </font>
    <font>
      <i/>
      <sz val="10"/>
      <name val="PT Sans"/>
      <family val="2"/>
      <charset val="204"/>
    </font>
    <font>
      <i/>
      <sz val="10"/>
      <color rgb="FF000000"/>
      <name val="PT Sans"/>
      <family val="2"/>
      <charset val="204"/>
    </font>
    <font>
      <sz val="10"/>
      <color theme="1"/>
      <name val="PT Sans"/>
      <family val="2"/>
      <charset val="204"/>
    </font>
    <font>
      <sz val="10"/>
      <color rgb="FFFF0000"/>
      <name val="PT Sans"/>
      <family val="2"/>
      <charset val="204"/>
    </font>
    <font>
      <sz val="8"/>
      <color rgb="FF000000"/>
      <name val="PT Sans"/>
      <family val="2"/>
      <charset val="204"/>
    </font>
    <font>
      <i/>
      <sz val="10"/>
      <color theme="1"/>
      <name val="PT Sans"/>
      <family val="2"/>
      <charset val="204"/>
    </font>
    <font>
      <b/>
      <sz val="10"/>
      <name val="PT Sans"/>
      <family val="2"/>
      <charset val="204"/>
    </font>
    <font>
      <b/>
      <sz val="10"/>
      <color rgb="FF000000"/>
      <name val="PT Sans"/>
      <family val="2"/>
      <charset val="204"/>
    </font>
    <font>
      <sz val="10"/>
      <color rgb="FF7030A0"/>
      <name val="PT Sans"/>
      <family val="2"/>
      <charset val="204"/>
    </font>
    <font>
      <sz val="10"/>
      <color theme="5" tint="-0.249977111117893"/>
      <name val="PT Sans"/>
      <family val="2"/>
      <charset val="204"/>
    </font>
    <font>
      <sz val="10"/>
      <name val="PT Sans"/>
      <family val="2"/>
      <charset val="204"/>
    </font>
    <font>
      <i/>
      <sz val="10"/>
      <color theme="5" tint="-0.249977111117893"/>
      <name val="PT Sans"/>
      <family val="2"/>
      <charset val="204"/>
    </font>
    <font>
      <sz val="11"/>
      <color rgb="FF000000"/>
      <name val="Arial"/>
      <family val="2"/>
      <charset val="204"/>
    </font>
    <font>
      <sz val="10"/>
      <color rgb="FFE36C09"/>
      <name val="PT Sans"/>
      <family val="2"/>
      <charset val="204"/>
    </font>
    <font>
      <sz val="10"/>
      <color rgb="FFE69138"/>
      <name val="PT Sans"/>
      <family val="2"/>
      <charset val="204"/>
    </font>
    <font>
      <sz val="10"/>
      <color rgb="FF484848"/>
      <name val="PT Sans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0"/>
      <name val="PT Sans"/>
      <family val="2"/>
      <charset val="204"/>
    </font>
    <font>
      <sz val="11"/>
      <color rgb="FF474766"/>
      <name val="Arial"/>
      <family val="2"/>
      <charset val="204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name val="Calibri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9" tint="0.39997558519241921"/>
        <bgColor rgb="FF99CC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rgb="FF99CC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EEBF7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FFD966"/>
      </patternFill>
    </fill>
    <fill>
      <patternFill patternType="solid">
        <fgColor theme="9" tint="0.79998168889431442"/>
        <bgColor rgb="FFFFD966"/>
      </patternFill>
    </fill>
    <fill>
      <patternFill patternType="solid">
        <fgColor theme="9" tint="0.39997558519241921"/>
        <bgColor rgb="FFFFD685"/>
      </patternFill>
    </fill>
    <fill>
      <patternFill patternType="solid">
        <fgColor rgb="FFFFC000"/>
        <bgColor rgb="FFFFD966"/>
      </patternFill>
    </fill>
    <fill>
      <patternFill patternType="solid">
        <fgColor theme="4" tint="0.59999389629810485"/>
        <bgColor rgb="FFCCCCCC"/>
      </patternFill>
    </fill>
    <fill>
      <patternFill patternType="solid">
        <fgColor rgb="FF93C13D"/>
        <bgColor rgb="FF93C13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3C13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5">
    <xf numFmtId="0" fontId="0" fillId="0" borderId="0"/>
    <xf numFmtId="165" fontId="4" fillId="0" borderId="0" applyBorder="0" applyProtection="0"/>
    <xf numFmtId="9" fontId="4" fillId="0" borderId="0" applyBorder="0" applyProtection="0"/>
    <xf numFmtId="0" fontId="1" fillId="0" borderId="0" applyBorder="0" applyProtection="0"/>
    <xf numFmtId="164" fontId="4" fillId="0" borderId="0" applyBorder="0" applyProtection="0"/>
  </cellStyleXfs>
  <cellXfs count="312">
    <xf numFmtId="0" fontId="0" fillId="0" borderId="0" xfId="0"/>
    <xf numFmtId="0" fontId="8" fillId="0" borderId="0" xfId="0" applyFont="1"/>
    <xf numFmtId="0" fontId="7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3" fontId="8" fillId="0" borderId="0" xfId="4" applyNumberFormat="1" applyFont="1" applyBorder="1" applyAlignment="1" applyProtection="1">
      <alignment horizontal="center"/>
    </xf>
    <xf numFmtId="0" fontId="1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/>
    <xf numFmtId="9" fontId="9" fillId="0" borderId="3" xfId="1" applyNumberFormat="1" applyFont="1" applyBorder="1" applyAlignment="1" applyProtection="1">
      <alignment horizontal="center"/>
    </xf>
    <xf numFmtId="1" fontId="9" fillId="0" borderId="3" xfId="1" applyNumberFormat="1" applyFont="1" applyBorder="1" applyAlignment="1" applyProtection="1">
      <alignment horizontal="center"/>
    </xf>
    <xf numFmtId="0" fontId="8" fillId="0" borderId="9" xfId="0" applyFont="1" applyBorder="1"/>
    <xf numFmtId="0" fontId="12" fillId="0" borderId="9" xfId="0" applyFont="1" applyBorder="1"/>
    <xf numFmtId="0" fontId="12" fillId="0" borderId="9" xfId="0" quotePrefix="1" applyFont="1" applyBorder="1"/>
    <xf numFmtId="0" fontId="12" fillId="0" borderId="11" xfId="0" quotePrefix="1" applyFont="1" applyBorder="1"/>
    <xf numFmtId="0" fontId="12" fillId="0" borderId="14" xfId="0" applyFont="1" applyBorder="1"/>
    <xf numFmtId="3" fontId="8" fillId="0" borderId="3" xfId="1" applyNumberFormat="1" applyFont="1" applyBorder="1" applyAlignment="1" applyProtection="1">
      <alignment horizontal="right"/>
    </xf>
    <xf numFmtId="3" fontId="8" fillId="5" borderId="12" xfId="1" applyNumberFormat="1" applyFont="1" applyFill="1" applyBorder="1" applyAlignment="1" applyProtection="1">
      <alignment horizontal="right"/>
    </xf>
    <xf numFmtId="166" fontId="12" fillId="0" borderId="3" xfId="1" applyNumberFormat="1" applyFont="1" applyBorder="1" applyAlignment="1" applyProtection="1">
      <alignment horizontal="right"/>
    </xf>
    <xf numFmtId="3" fontId="8" fillId="4" borderId="17" xfId="1" applyNumberFormat="1" applyFont="1" applyFill="1" applyBorder="1" applyAlignment="1" applyProtection="1">
      <alignment horizontal="right"/>
    </xf>
    <xf numFmtId="3" fontId="12" fillId="0" borderId="5" xfId="1" applyNumberFormat="1" applyFont="1" applyBorder="1" applyAlignment="1" applyProtection="1">
      <alignment horizontal="right"/>
    </xf>
    <xf numFmtId="3" fontId="12" fillId="0" borderId="3" xfId="1" applyNumberFormat="1" applyFont="1" applyBorder="1" applyAlignment="1" applyProtection="1">
      <alignment horizontal="right"/>
    </xf>
    <xf numFmtId="3" fontId="12" fillId="0" borderId="12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</xf>
    <xf numFmtId="3" fontId="8" fillId="6" borderId="17" xfId="1" applyNumberFormat="1" applyFont="1" applyFill="1" applyBorder="1" applyAlignment="1" applyProtection="1">
      <alignment horizontal="right"/>
    </xf>
    <xf numFmtId="0" fontId="7" fillId="6" borderId="17" xfId="0" applyFont="1" applyFill="1" applyBorder="1" applyAlignment="1">
      <alignment horizontal="right"/>
    </xf>
    <xf numFmtId="3" fontId="15" fillId="0" borderId="7" xfId="1" applyNumberFormat="1" applyFont="1" applyBorder="1" applyAlignment="1" applyProtection="1">
      <alignment horizontal="right"/>
    </xf>
    <xf numFmtId="3" fontId="8" fillId="0" borderId="7" xfId="1" applyNumberFormat="1" applyFont="1" applyBorder="1" applyAlignment="1" applyProtection="1">
      <alignment horizontal="right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 applyProtection="1">
      <alignment horizontal="left"/>
      <protection locked="0"/>
    </xf>
    <xf numFmtId="0" fontId="13" fillId="0" borderId="9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166" fontId="7" fillId="2" borderId="17" xfId="1" applyNumberFormat="1" applyFont="1" applyFill="1" applyBorder="1" applyAlignment="1" applyProtection="1">
      <alignment horizontal="center" vertical="center"/>
    </xf>
    <xf numFmtId="166" fontId="9" fillId="0" borderId="4" xfId="1" applyNumberFormat="1" applyFont="1" applyBorder="1" applyAlignment="1" applyProtection="1">
      <alignment horizontal="center"/>
    </xf>
    <xf numFmtId="167" fontId="8" fillId="3" borderId="17" xfId="1" applyNumberFormat="1" applyFont="1" applyFill="1" applyBorder="1" applyAlignment="1" applyProtection="1">
      <alignment horizontal="right"/>
    </xf>
    <xf numFmtId="0" fontId="13" fillId="0" borderId="21" xfId="0" applyFont="1" applyBorder="1" applyProtection="1">
      <protection locked="0"/>
    </xf>
    <xf numFmtId="3" fontId="12" fillId="0" borderId="22" xfId="1" applyNumberFormat="1" applyFont="1" applyBorder="1" applyAlignment="1" applyProtection="1">
      <alignment horizontal="right"/>
    </xf>
    <xf numFmtId="3" fontId="8" fillId="7" borderId="17" xfId="1" applyNumberFormat="1" applyFont="1" applyFill="1" applyBorder="1" applyAlignment="1" applyProtection="1">
      <alignment horizontal="right"/>
    </xf>
    <xf numFmtId="3" fontId="12" fillId="0" borderId="7" xfId="1" applyNumberFormat="1" applyFont="1" applyBorder="1" applyAlignment="1" applyProtection="1">
      <alignment horizontal="right"/>
    </xf>
    <xf numFmtId="0" fontId="12" fillId="0" borderId="6" xfId="0" quotePrefix="1" applyFont="1" applyBorder="1"/>
    <xf numFmtId="0" fontId="13" fillId="0" borderId="6" xfId="0" applyFont="1" applyBorder="1" applyProtection="1">
      <protection locked="0"/>
    </xf>
    <xf numFmtId="166" fontId="13" fillId="0" borderId="7" xfId="1" applyNumberFormat="1" applyFont="1" applyBorder="1" applyAlignment="1" applyProtection="1">
      <alignment horizontal="right"/>
    </xf>
    <xf numFmtId="9" fontId="8" fillId="0" borderId="3" xfId="0" applyNumberFormat="1" applyFont="1" applyBorder="1"/>
    <xf numFmtId="0" fontId="8" fillId="0" borderId="3" xfId="0" applyFont="1" applyBorder="1" applyAlignment="1">
      <alignment horizontal="right"/>
    </xf>
    <xf numFmtId="0" fontId="8" fillId="9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8" borderId="6" xfId="0" applyFont="1" applyFill="1" applyBorder="1"/>
    <xf numFmtId="0" fontId="8" fillId="2" borderId="9" xfId="0" applyFont="1" applyFill="1" applyBorder="1"/>
    <xf numFmtId="0" fontId="8" fillId="8" borderId="9" xfId="0" applyFont="1" applyFill="1" applyBorder="1"/>
    <xf numFmtId="0" fontId="8" fillId="8" borderId="9" xfId="0" applyFont="1" applyFill="1" applyBorder="1" applyAlignment="1">
      <alignment horizontal="left" vertical="center"/>
    </xf>
    <xf numFmtId="0" fontId="8" fillId="2" borderId="11" xfId="0" applyFont="1" applyFill="1" applyBorder="1"/>
    <xf numFmtId="0" fontId="8" fillId="9" borderId="6" xfId="0" applyFont="1" applyFill="1" applyBorder="1"/>
    <xf numFmtId="0" fontId="8" fillId="0" borderId="9" xfId="0" applyFont="1" applyBorder="1" applyAlignment="1">
      <alignment wrapText="1"/>
    </xf>
    <xf numFmtId="0" fontId="8" fillId="9" borderId="9" xfId="0" applyFont="1" applyFill="1" applyBorder="1"/>
    <xf numFmtId="0" fontId="8" fillId="9" borderId="6" xfId="0" applyFont="1" applyFill="1" applyBorder="1" applyProtection="1">
      <protection locked="0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right"/>
    </xf>
    <xf numFmtId="167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167" fontId="8" fillId="2" borderId="10" xfId="1" applyNumberFormat="1" applyFont="1" applyFill="1" applyBorder="1" applyAlignment="1" applyProtection="1">
      <alignment horizontal="right"/>
    </xf>
    <xf numFmtId="167" fontId="4" fillId="10" borderId="10" xfId="1" applyNumberFormat="1" applyFill="1" applyBorder="1"/>
    <xf numFmtId="0" fontId="8" fillId="2" borderId="9" xfId="0" applyFont="1" applyFill="1" applyBorder="1" applyProtection="1">
      <protection locked="0"/>
    </xf>
    <xf numFmtId="167" fontId="5" fillId="0" borderId="10" xfId="1" applyNumberFormat="1" applyFont="1" applyBorder="1" applyAlignment="1">
      <alignment horizontal="left" indent="3"/>
    </xf>
    <xf numFmtId="0" fontId="8" fillId="2" borderId="11" xfId="0" applyFont="1" applyFill="1" applyBorder="1" applyProtection="1">
      <protection locked="0"/>
    </xf>
    <xf numFmtId="167" fontId="5" fillId="0" borderId="13" xfId="1" applyNumberFormat="1" applyFont="1" applyBorder="1" applyAlignment="1">
      <alignment horizontal="left" indent="3"/>
    </xf>
    <xf numFmtId="0" fontId="8" fillId="2" borderId="6" xfId="0" applyFont="1" applyFill="1" applyBorder="1" applyProtection="1">
      <protection locked="0"/>
    </xf>
    <xf numFmtId="0" fontId="10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3" fontId="6" fillId="12" borderId="3" xfId="4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6" fillId="12" borderId="9" xfId="0" applyFont="1" applyFill="1" applyBorder="1" applyAlignment="1">
      <alignment wrapText="1"/>
    </xf>
    <xf numFmtId="3" fontId="6" fillId="12" borderId="10" xfId="4" applyNumberFormat="1" applyFont="1" applyFill="1" applyBorder="1" applyAlignment="1" applyProtection="1">
      <alignment horizontal="center"/>
    </xf>
    <xf numFmtId="3" fontId="6" fillId="0" borderId="10" xfId="4" applyNumberFormat="1" applyFont="1" applyBorder="1" applyAlignment="1" applyProtection="1">
      <alignment horizontal="center"/>
    </xf>
    <xf numFmtId="3" fontId="6" fillId="11" borderId="13" xfId="4" applyNumberFormat="1" applyFont="1" applyFill="1" applyBorder="1" applyAlignment="1" applyProtection="1">
      <alignment horizontal="center"/>
    </xf>
    <xf numFmtId="0" fontId="6" fillId="11" borderId="10" xfId="0" applyFont="1" applyFill="1" applyBorder="1" applyAlignment="1">
      <alignment wrapText="1"/>
    </xf>
    <xf numFmtId="1" fontId="7" fillId="0" borderId="3" xfId="0" applyNumberFormat="1" applyFont="1" applyBorder="1" applyAlignment="1" applyProtection="1">
      <alignment horizontal="center"/>
      <protection locked="0"/>
    </xf>
    <xf numFmtId="3" fontId="8" fillId="0" borderId="3" xfId="4" applyNumberFormat="1" applyFont="1" applyBorder="1" applyAlignment="1" applyProtection="1">
      <alignment horizontal="center"/>
    </xf>
    <xf numFmtId="3" fontId="8" fillId="0" borderId="10" xfId="4" applyNumberFormat="1" applyFont="1" applyBorder="1" applyAlignment="1" applyProtection="1">
      <alignment horizontal="center"/>
    </xf>
    <xf numFmtId="9" fontId="7" fillId="0" borderId="3" xfId="2" applyFont="1" applyBorder="1" applyAlignment="1" applyProtection="1">
      <alignment horizontal="center"/>
      <protection locked="0"/>
    </xf>
    <xf numFmtId="3" fontId="8" fillId="0" borderId="3" xfId="0" applyNumberFormat="1" applyFont="1" applyBorder="1"/>
    <xf numFmtId="0" fontId="8" fillId="0" borderId="3" xfId="0" applyFont="1" applyBorder="1"/>
    <xf numFmtId="3" fontId="8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0" fontId="7" fillId="0" borderId="9" xfId="0" applyFont="1" applyBorder="1" applyProtection="1">
      <protection locked="0"/>
    </xf>
    <xf numFmtId="0" fontId="6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9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3" fontId="8" fillId="0" borderId="0" xfId="1" applyNumberFormat="1" applyFont="1" applyBorder="1" applyAlignment="1" applyProtection="1">
      <alignment horizontal="right"/>
    </xf>
    <xf numFmtId="3" fontId="8" fillId="9" borderId="8" xfId="0" applyNumberFormat="1" applyFont="1" applyFill="1" applyBorder="1"/>
    <xf numFmtId="3" fontId="8" fillId="9" borderId="10" xfId="0" applyNumberFormat="1" applyFont="1" applyFill="1" applyBorder="1"/>
    <xf numFmtId="3" fontId="8" fillId="8" borderId="8" xfId="1" applyNumberFormat="1" applyFont="1" applyFill="1" applyBorder="1" applyProtection="1"/>
    <xf numFmtId="3" fontId="8" fillId="8" borderId="10" xfId="1" applyNumberFormat="1" applyFont="1" applyFill="1" applyBorder="1" applyProtection="1"/>
    <xf numFmtId="3" fontId="8" fillId="8" borderId="10" xfId="1" applyNumberFormat="1" applyFont="1" applyFill="1" applyBorder="1" applyAlignment="1" applyProtection="1">
      <alignment vertical="center"/>
    </xf>
    <xf numFmtId="0" fontId="18" fillId="0" borderId="0" xfId="0" applyFont="1"/>
    <xf numFmtId="0" fontId="18" fillId="0" borderId="9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3" fontId="18" fillId="0" borderId="3" xfId="4" applyNumberFormat="1" applyFont="1" applyBorder="1" applyAlignment="1" applyProtection="1">
      <alignment horizontal="center"/>
    </xf>
    <xf numFmtId="3" fontId="18" fillId="0" borderId="10" xfId="4" applyNumberFormat="1" applyFont="1" applyBorder="1" applyAlignment="1" applyProtection="1">
      <alignment horizontal="center"/>
    </xf>
    <xf numFmtId="0" fontId="19" fillId="0" borderId="0" xfId="0" applyFont="1"/>
    <xf numFmtId="0" fontId="20" fillId="0" borderId="3" xfId="0" applyFont="1" applyBorder="1" applyAlignment="1">
      <alignment horizontal="left"/>
    </xf>
    <xf numFmtId="0" fontId="8" fillId="0" borderId="19" xfId="0" applyFont="1" applyBorder="1"/>
    <xf numFmtId="9" fontId="7" fillId="0" borderId="4" xfId="1" applyNumberFormat="1" applyFont="1" applyBorder="1" applyAlignment="1" applyProtection="1">
      <alignment horizontal="center"/>
    </xf>
    <xf numFmtId="3" fontId="16" fillId="0" borderId="16" xfId="1" applyNumberFormat="1" applyFont="1" applyBorder="1" applyAlignment="1" applyProtection="1">
      <alignment horizontal="right" vertical="center" wrapText="1"/>
    </xf>
    <xf numFmtId="0" fontId="17" fillId="0" borderId="1" xfId="0" quotePrefix="1" applyFont="1" applyBorder="1"/>
    <xf numFmtId="0" fontId="15" fillId="0" borderId="6" xfId="0" applyFont="1" applyBorder="1"/>
    <xf numFmtId="0" fontId="14" fillId="0" borderId="9" xfId="0" applyFont="1" applyBorder="1"/>
    <xf numFmtId="0" fontId="2" fillId="0" borderId="0" xfId="0" applyFont="1"/>
    <xf numFmtId="1" fontId="8" fillId="0" borderId="3" xfId="1" applyNumberFormat="1" applyFont="1" applyBorder="1" applyAlignment="1" applyProtection="1">
      <alignment horizontal="left"/>
    </xf>
    <xf numFmtId="1" fontId="8" fillId="0" borderId="3" xfId="1" applyNumberFormat="1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left"/>
      <protection locked="0"/>
    </xf>
    <xf numFmtId="3" fontId="14" fillId="0" borderId="2" xfId="0" applyNumberFormat="1" applyFont="1" applyBorder="1" applyAlignment="1">
      <alignment horizontal="right"/>
    </xf>
    <xf numFmtId="3" fontId="6" fillId="11" borderId="10" xfId="4" applyNumberFormat="1" applyFont="1" applyFill="1" applyBorder="1" applyAlignment="1" applyProtection="1">
      <alignment horizontal="center"/>
    </xf>
    <xf numFmtId="0" fontId="7" fillId="3" borderId="16" xfId="0" applyFont="1" applyFill="1" applyBorder="1" applyProtection="1">
      <protection locked="0"/>
    </xf>
    <xf numFmtId="166" fontId="13" fillId="0" borderId="3" xfId="1" applyNumberFormat="1" applyFont="1" applyBorder="1" applyAlignment="1" applyProtection="1">
      <alignment horizontal="right"/>
    </xf>
    <xf numFmtId="0" fontId="14" fillId="14" borderId="11" xfId="0" applyFont="1" applyFill="1" applyBorder="1"/>
    <xf numFmtId="0" fontId="14" fillId="15" borderId="16" xfId="0" applyFont="1" applyFill="1" applyBorder="1"/>
    <xf numFmtId="3" fontId="22" fillId="4" borderId="17" xfId="1" applyNumberFormat="1" applyFont="1" applyFill="1" applyBorder="1" applyAlignment="1" applyProtection="1">
      <alignment horizontal="left"/>
    </xf>
    <xf numFmtId="3" fontId="22" fillId="7" borderId="17" xfId="1" applyNumberFormat="1" applyFont="1" applyFill="1" applyBorder="1" applyAlignment="1" applyProtection="1">
      <alignment horizontal="left"/>
    </xf>
    <xf numFmtId="3" fontId="8" fillId="6" borderId="17" xfId="1" applyNumberFormat="1" applyFont="1" applyFill="1" applyBorder="1" applyAlignment="1" applyProtection="1">
      <alignment horizontal="left"/>
    </xf>
    <xf numFmtId="3" fontId="8" fillId="7" borderId="17" xfId="1" applyNumberFormat="1" applyFont="1" applyFill="1" applyBorder="1" applyAlignment="1" applyProtection="1">
      <alignment horizontal="left"/>
    </xf>
    <xf numFmtId="0" fontId="21" fillId="0" borderId="3" xfId="0" applyFont="1" applyBorder="1" applyAlignment="1">
      <alignment horizontal="center"/>
    </xf>
    <xf numFmtId="3" fontId="21" fillId="2" borderId="3" xfId="1" applyNumberFormat="1" applyFont="1" applyFill="1" applyBorder="1" applyAlignment="1" applyProtection="1">
      <alignment horizontal="center"/>
    </xf>
    <xf numFmtId="1" fontId="21" fillId="2" borderId="3" xfId="0" applyNumberFormat="1" applyFont="1" applyFill="1" applyBorder="1" applyAlignment="1" applyProtection="1">
      <alignment horizontal="center"/>
      <protection locked="0"/>
    </xf>
    <xf numFmtId="1" fontId="21" fillId="2" borderId="12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/>
    <xf numFmtId="3" fontId="25" fillId="17" borderId="29" xfId="0" applyNumberFormat="1" applyFont="1" applyFill="1" applyBorder="1" applyAlignment="1">
      <alignment horizontal="center"/>
    </xf>
    <xf numFmtId="0" fontId="14" fillId="18" borderId="32" xfId="0" applyFont="1" applyFill="1" applyBorder="1" applyAlignment="1">
      <alignment horizontal="left"/>
    </xf>
    <xf numFmtId="3" fontId="25" fillId="17" borderId="33" xfId="0" applyNumberFormat="1" applyFont="1" applyFill="1" applyBorder="1" applyAlignment="1">
      <alignment horizontal="center"/>
    </xf>
    <xf numFmtId="0" fontId="14" fillId="18" borderId="34" xfId="0" applyFont="1" applyFill="1" applyBorder="1" applyAlignment="1">
      <alignment horizontal="left"/>
    </xf>
    <xf numFmtId="0" fontId="7" fillId="18" borderId="35" xfId="0" applyFont="1" applyFill="1" applyBorder="1" applyAlignment="1">
      <alignment horizontal="left" wrapText="1"/>
    </xf>
    <xf numFmtId="3" fontId="25" fillId="17" borderId="36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4" xfId="0" applyFont="1" applyBorder="1" applyAlignment="1">
      <alignment vertical="center"/>
    </xf>
    <xf numFmtId="0" fontId="14" fillId="0" borderId="38" xfId="0" applyFont="1" applyBorder="1" applyAlignment="1">
      <alignment vertical="center" wrapText="1"/>
    </xf>
    <xf numFmtId="3" fontId="14" fillId="0" borderId="34" xfId="0" applyNumberFormat="1" applyFont="1" applyBorder="1" applyAlignment="1">
      <alignment wrapText="1"/>
    </xf>
    <xf numFmtId="3" fontId="27" fillId="0" borderId="34" xfId="0" applyNumberFormat="1" applyFont="1" applyBorder="1" applyAlignment="1">
      <alignment wrapText="1"/>
    </xf>
    <xf numFmtId="0" fontId="27" fillId="0" borderId="34" xfId="0" applyFont="1" applyBorder="1" applyAlignment="1">
      <alignment wrapText="1"/>
    </xf>
    <xf numFmtId="0" fontId="27" fillId="18" borderId="34" xfId="0" applyFont="1" applyFill="1" applyBorder="1" applyAlignment="1">
      <alignment wrapText="1"/>
    </xf>
    <xf numFmtId="1" fontId="27" fillId="18" borderId="34" xfId="0" applyNumberFormat="1" applyFont="1" applyFill="1" applyBorder="1" applyAlignment="1">
      <alignment wrapText="1"/>
    </xf>
    <xf numFmtId="1" fontId="27" fillId="0" borderId="34" xfId="0" applyNumberFormat="1" applyFont="1" applyBorder="1" applyAlignment="1">
      <alignment wrapText="1"/>
    </xf>
    <xf numFmtId="1" fontId="14" fillId="0" borderId="34" xfId="0" applyNumberFormat="1" applyFont="1" applyBorder="1"/>
    <xf numFmtId="1" fontId="14" fillId="0" borderId="34" xfId="0" applyNumberFormat="1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7" fillId="18" borderId="29" xfId="0" applyFont="1" applyFill="1" applyBorder="1" applyAlignment="1">
      <alignment horizontal="left" wrapText="1"/>
    </xf>
    <xf numFmtId="3" fontId="25" fillId="17" borderId="29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7" fillId="18" borderId="34" xfId="0" applyFont="1" applyFill="1" applyBorder="1" applyAlignment="1">
      <alignment horizontal="left" wrapText="1"/>
    </xf>
    <xf numFmtId="0" fontId="7" fillId="18" borderId="34" xfId="0" applyFont="1" applyFill="1" applyBorder="1" applyAlignment="1">
      <alignment horizontal="left"/>
    </xf>
    <xf numFmtId="0" fontId="14" fillId="0" borderId="34" xfId="0" applyFont="1" applyBorder="1"/>
    <xf numFmtId="0" fontId="14" fillId="18" borderId="34" xfId="0" applyFont="1" applyFill="1" applyBorder="1" applyAlignment="1">
      <alignment wrapText="1"/>
    </xf>
    <xf numFmtId="3" fontId="26" fillId="17" borderId="36" xfId="0" applyNumberFormat="1" applyFont="1" applyFill="1" applyBorder="1" applyAlignment="1">
      <alignment horizontal="center"/>
    </xf>
    <xf numFmtId="0" fontId="7" fillId="18" borderId="32" xfId="0" applyFont="1" applyFill="1" applyBorder="1" applyAlignment="1">
      <alignment horizontal="left"/>
    </xf>
    <xf numFmtId="3" fontId="14" fillId="16" borderId="28" xfId="0" applyNumberFormat="1" applyFont="1" applyFill="1" applyBorder="1" applyAlignment="1">
      <alignment horizontal="center"/>
    </xf>
    <xf numFmtId="3" fontId="14" fillId="16" borderId="31" xfId="0" applyNumberFormat="1" applyFont="1" applyFill="1" applyBorder="1" applyAlignment="1">
      <alignment horizontal="center"/>
    </xf>
    <xf numFmtId="3" fontId="14" fillId="16" borderId="33" xfId="0" applyNumberFormat="1" applyFont="1" applyFill="1" applyBorder="1" applyAlignment="1">
      <alignment horizontal="center" vertical="center"/>
    </xf>
    <xf numFmtId="3" fontId="14" fillId="16" borderId="29" xfId="0" applyNumberFormat="1" applyFont="1" applyFill="1" applyBorder="1" applyAlignment="1">
      <alignment horizontal="center" vertical="center"/>
    </xf>
    <xf numFmtId="3" fontId="14" fillId="16" borderId="41" xfId="0" applyNumberFormat="1" applyFont="1" applyFill="1" applyBorder="1" applyAlignment="1">
      <alignment horizontal="center"/>
    </xf>
    <xf numFmtId="3" fontId="14" fillId="16" borderId="43" xfId="0" applyNumberFormat="1" applyFont="1" applyFill="1" applyBorder="1" applyAlignment="1">
      <alignment horizontal="center"/>
    </xf>
    <xf numFmtId="0" fontId="7" fillId="19" borderId="27" xfId="0" applyFont="1" applyFill="1" applyBorder="1" applyAlignment="1">
      <alignment horizontal="left"/>
    </xf>
    <xf numFmtId="3" fontId="14" fillId="19" borderId="28" xfId="0" applyNumberFormat="1" applyFont="1" applyFill="1" applyBorder="1" applyAlignment="1">
      <alignment horizontal="center"/>
    </xf>
    <xf numFmtId="0" fontId="7" fillId="16" borderId="30" xfId="0" applyFont="1" applyFill="1" applyBorder="1" applyAlignment="1">
      <alignment horizontal="left"/>
    </xf>
    <xf numFmtId="0" fontId="7" fillId="16" borderId="32" xfId="0" applyFont="1" applyFill="1" applyBorder="1" applyAlignment="1">
      <alignment horizontal="left" vertical="center"/>
    </xf>
    <xf numFmtId="0" fontId="7" fillId="16" borderId="34" xfId="0" applyFont="1" applyFill="1" applyBorder="1" applyAlignment="1">
      <alignment horizontal="left" vertical="center"/>
    </xf>
    <xf numFmtId="0" fontId="7" fillId="16" borderId="31" xfId="0" applyFont="1" applyFill="1" applyBorder="1" applyAlignment="1">
      <alignment horizontal="left"/>
    </xf>
    <xf numFmtId="0" fontId="7" fillId="16" borderId="42" xfId="0" applyFont="1" applyFill="1" applyBorder="1" applyAlignment="1">
      <alignment horizontal="left"/>
    </xf>
    <xf numFmtId="0" fontId="7" fillId="16" borderId="35" xfId="0" applyFont="1" applyFill="1" applyBorder="1" applyAlignment="1">
      <alignment horizontal="left"/>
    </xf>
    <xf numFmtId="0" fontId="8" fillId="20" borderId="16" xfId="0" applyFont="1" applyFill="1" applyBorder="1"/>
    <xf numFmtId="3" fontId="8" fillId="20" borderId="18" xfId="0" applyNumberFormat="1" applyFont="1" applyFill="1" applyBorder="1"/>
    <xf numFmtId="0" fontId="7" fillId="18" borderId="0" xfId="0" applyFont="1" applyFill="1"/>
    <xf numFmtId="3" fontId="14" fillId="18" borderId="0" xfId="0" applyNumberFormat="1" applyFont="1" applyFill="1" applyAlignment="1">
      <alignment horizontal="right"/>
    </xf>
    <xf numFmtId="0" fontId="7" fillId="21" borderId="0" xfId="0" applyFont="1" applyFill="1"/>
    <xf numFmtId="3" fontId="14" fillId="21" borderId="0" xfId="0" applyNumberFormat="1" applyFont="1" applyFill="1" applyAlignment="1">
      <alignment horizontal="right"/>
    </xf>
    <xf numFmtId="0" fontId="8" fillId="22" borderId="0" xfId="0" applyFont="1" applyFill="1"/>
    <xf numFmtId="1" fontId="8" fillId="22" borderId="0" xfId="0" applyNumberFormat="1" applyFont="1" applyFill="1"/>
    <xf numFmtId="0" fontId="14" fillId="23" borderId="0" xfId="0" applyFont="1" applyFill="1"/>
    <xf numFmtId="3" fontId="14" fillId="23" borderId="0" xfId="0" applyNumberFormat="1" applyFont="1" applyFill="1" applyAlignment="1">
      <alignment horizontal="center"/>
    </xf>
    <xf numFmtId="0" fontId="24" fillId="22" borderId="0" xfId="0" applyFont="1" applyFill="1"/>
    <xf numFmtId="0" fontId="7" fillId="16" borderId="44" xfId="0" applyFont="1" applyFill="1" applyBorder="1" applyAlignment="1">
      <alignment horizontal="center"/>
    </xf>
    <xf numFmtId="3" fontId="14" fillId="16" borderId="45" xfId="0" applyNumberFormat="1" applyFont="1" applyFill="1" applyBorder="1" applyAlignment="1">
      <alignment horizontal="center"/>
    </xf>
    <xf numFmtId="3" fontId="14" fillId="19" borderId="31" xfId="0" applyNumberFormat="1" applyFont="1" applyFill="1" applyBorder="1" applyAlignment="1">
      <alignment horizontal="center"/>
    </xf>
    <xf numFmtId="3" fontId="7" fillId="0" borderId="46" xfId="0" applyNumberFormat="1" applyFont="1" applyBorder="1" applyAlignment="1">
      <alignment wrapText="1"/>
    </xf>
    <xf numFmtId="4" fontId="7" fillId="0" borderId="46" xfId="0" applyNumberFormat="1" applyFont="1" applyBorder="1" applyAlignment="1">
      <alignment wrapText="1"/>
    </xf>
    <xf numFmtId="167" fontId="21" fillId="24" borderId="3" xfId="1" applyNumberFormat="1" applyFont="1" applyFill="1" applyBorder="1" applyAlignment="1" applyProtection="1">
      <alignment horizontal="right"/>
      <protection locked="0"/>
    </xf>
    <xf numFmtId="167" fontId="8" fillId="24" borderId="10" xfId="1" applyNumberFormat="1" applyFont="1" applyFill="1" applyBorder="1" applyAlignment="1" applyProtection="1">
      <alignment horizontal="right"/>
      <protection locked="0"/>
    </xf>
    <xf numFmtId="167" fontId="21" fillId="24" borderId="12" xfId="1" applyNumberFormat="1" applyFont="1" applyFill="1" applyBorder="1" applyAlignment="1" applyProtection="1">
      <alignment horizontal="right"/>
      <protection locked="0"/>
    </xf>
    <xf numFmtId="3" fontId="21" fillId="22" borderId="8" xfId="0" applyNumberFormat="1" applyFont="1" applyFill="1" applyBorder="1"/>
    <xf numFmtId="3" fontId="21" fillId="22" borderId="10" xfId="0" applyNumberFormat="1" applyFont="1" applyFill="1" applyBorder="1"/>
    <xf numFmtId="0" fontId="21" fillId="22" borderId="10" xfId="0" applyFont="1" applyFill="1" applyBorder="1"/>
    <xf numFmtId="3" fontId="21" fillId="22" borderId="13" xfId="0" applyNumberFormat="1" applyFont="1" applyFill="1" applyBorder="1"/>
    <xf numFmtId="3" fontId="21" fillId="22" borderId="10" xfId="1" applyNumberFormat="1" applyFont="1" applyFill="1" applyBorder="1" applyProtection="1"/>
    <xf numFmtId="3" fontId="21" fillId="22" borderId="13" xfId="1" applyNumberFormat="1" applyFont="1" applyFill="1" applyBorder="1" applyProtection="1"/>
    <xf numFmtId="3" fontId="21" fillId="24" borderId="10" xfId="1" applyNumberFormat="1" applyFont="1" applyFill="1" applyBorder="1" applyProtection="1"/>
    <xf numFmtId="3" fontId="21" fillId="24" borderId="13" xfId="1" applyNumberFormat="1" applyFont="1" applyFill="1" applyBorder="1" applyProtection="1"/>
    <xf numFmtId="0" fontId="26" fillId="22" borderId="33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6" xfId="0" applyFont="1" applyFill="1" applyBorder="1" applyAlignment="1">
      <alignment horizontal="center" vertical="center"/>
    </xf>
    <xf numFmtId="3" fontId="26" fillId="22" borderId="33" xfId="0" applyNumberFormat="1" applyFont="1" applyFill="1" applyBorder="1" applyAlignment="1">
      <alignment horizontal="center"/>
    </xf>
    <xf numFmtId="3" fontId="26" fillId="22" borderId="29" xfId="0" applyNumberFormat="1" applyFont="1" applyFill="1" applyBorder="1" applyAlignment="1">
      <alignment horizontal="center"/>
    </xf>
    <xf numFmtId="3" fontId="26" fillId="22" borderId="29" xfId="0" applyNumberFormat="1" applyFont="1" applyFill="1" applyBorder="1" applyAlignment="1">
      <alignment horizontal="center" wrapText="1"/>
    </xf>
    <xf numFmtId="0" fontId="26" fillId="22" borderId="29" xfId="0" applyFont="1" applyFill="1" applyBorder="1" applyAlignment="1">
      <alignment horizontal="center" wrapText="1"/>
    </xf>
    <xf numFmtId="0" fontId="26" fillId="22" borderId="29" xfId="0" applyFont="1" applyFill="1" applyBorder="1" applyAlignment="1">
      <alignment horizontal="center"/>
    </xf>
    <xf numFmtId="0" fontId="26" fillId="22" borderId="36" xfId="0" applyFont="1" applyFill="1" applyBorder="1" applyAlignment="1">
      <alignment horizontal="center"/>
    </xf>
    <xf numFmtId="0" fontId="26" fillId="22" borderId="33" xfId="0" applyFont="1" applyFill="1" applyBorder="1" applyAlignment="1">
      <alignment horizontal="center"/>
    </xf>
    <xf numFmtId="0" fontId="26" fillId="22" borderId="33" xfId="0" applyFont="1" applyFill="1" applyBorder="1" applyAlignment="1">
      <alignment horizontal="center" wrapText="1"/>
    </xf>
    <xf numFmtId="3" fontId="26" fillId="22" borderId="36" xfId="0" applyNumberFormat="1" applyFont="1" applyFill="1" applyBorder="1" applyAlignment="1">
      <alignment horizontal="center" wrapText="1"/>
    </xf>
    <xf numFmtId="3" fontId="26" fillId="22" borderId="36" xfId="0" applyNumberFormat="1" applyFont="1" applyFill="1" applyBorder="1" applyAlignment="1">
      <alignment horizontal="center"/>
    </xf>
    <xf numFmtId="3" fontId="25" fillId="21" borderId="29" xfId="0" applyNumberFormat="1" applyFont="1" applyFill="1" applyBorder="1" applyAlignment="1">
      <alignment horizontal="center"/>
    </xf>
    <xf numFmtId="0" fontId="26" fillId="21" borderId="29" xfId="0" applyFont="1" applyFill="1" applyBorder="1" applyAlignment="1">
      <alignment horizontal="center"/>
    </xf>
    <xf numFmtId="3" fontId="25" fillId="21" borderId="36" xfId="0" applyNumberFormat="1" applyFont="1" applyFill="1" applyBorder="1" applyAlignment="1">
      <alignment horizontal="center"/>
    </xf>
    <xf numFmtId="0" fontId="2" fillId="0" borderId="47" xfId="0" applyFont="1" applyBorder="1"/>
    <xf numFmtId="168" fontId="3" fillId="0" borderId="47" xfId="0" applyNumberFormat="1" applyFont="1" applyBorder="1" applyAlignment="1">
      <alignment horizontal="center"/>
    </xf>
    <xf numFmtId="165" fontId="4" fillId="25" borderId="47" xfId="1" applyFill="1" applyBorder="1"/>
    <xf numFmtId="0" fontId="28" fillId="25" borderId="47" xfId="0" applyFont="1" applyFill="1" applyBorder="1"/>
    <xf numFmtId="3" fontId="8" fillId="0" borderId="0" xfId="0" applyNumberFormat="1" applyFont="1"/>
    <xf numFmtId="0" fontId="12" fillId="2" borderId="0" xfId="0" quotePrefix="1" applyFont="1" applyFill="1"/>
    <xf numFmtId="3" fontId="12" fillId="2" borderId="0" xfId="1" applyNumberFormat="1" applyFont="1" applyFill="1" applyBorder="1" applyProtection="1"/>
    <xf numFmtId="3" fontId="30" fillId="2" borderId="47" xfId="1" applyNumberFormat="1" applyFont="1" applyFill="1" applyBorder="1" applyAlignment="1" applyProtection="1">
      <alignment horizontal="center"/>
    </xf>
    <xf numFmtId="0" fontId="30" fillId="0" borderId="47" xfId="0" quotePrefix="1" applyFont="1" applyBorder="1"/>
    <xf numFmtId="0" fontId="30" fillId="2" borderId="47" xfId="0" quotePrefix="1" applyFont="1" applyFill="1" applyBorder="1"/>
    <xf numFmtId="0" fontId="30" fillId="0" borderId="47" xfId="0" applyFont="1" applyBorder="1" applyAlignment="1">
      <alignment horizontal="center"/>
    </xf>
    <xf numFmtId="0" fontId="8" fillId="22" borderId="0" xfId="0" applyFont="1" applyFill="1" applyAlignment="1">
      <alignment horizontal="center"/>
    </xf>
    <xf numFmtId="0" fontId="30" fillId="20" borderId="47" xfId="0" applyFont="1" applyFill="1" applyBorder="1" applyAlignment="1">
      <alignment horizontal="center"/>
    </xf>
    <xf numFmtId="0" fontId="30" fillId="20" borderId="47" xfId="0" quotePrefix="1" applyFont="1" applyFill="1" applyBorder="1" applyAlignment="1">
      <alignment horizontal="center"/>
    </xf>
    <xf numFmtId="3" fontId="30" fillId="26" borderId="47" xfId="1" applyNumberFormat="1" applyFont="1" applyFill="1" applyBorder="1" applyAlignment="1" applyProtection="1">
      <alignment horizontal="center"/>
    </xf>
    <xf numFmtId="3" fontId="8" fillId="22" borderId="0" xfId="0" applyNumberFormat="1" applyFont="1" applyFill="1"/>
    <xf numFmtId="168" fontId="3" fillId="0" borderId="0" xfId="0" applyNumberFormat="1" applyFont="1"/>
    <xf numFmtId="165" fontId="29" fillId="25" borderId="47" xfId="0" applyNumberFormat="1" applyFont="1" applyFill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67" fontId="4" fillId="0" borderId="0" xfId="1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4" fillId="0" borderId="0" xfId="1"/>
    <xf numFmtId="0" fontId="3" fillId="0" borderId="0" xfId="0" applyFont="1" applyAlignment="1">
      <alignment horizontal="right"/>
    </xf>
    <xf numFmtId="0" fontId="31" fillId="0" borderId="0" xfId="0" applyFont="1"/>
    <xf numFmtId="16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7" fontId="4" fillId="0" borderId="0" xfId="1" applyNumberFormat="1"/>
    <xf numFmtId="0" fontId="12" fillId="27" borderId="14" xfId="0" quotePrefix="1" applyFont="1" applyFill="1" applyBorder="1"/>
    <xf numFmtId="3" fontId="12" fillId="28" borderId="15" xfId="1" applyNumberFormat="1" applyFont="1" applyFill="1" applyBorder="1" applyProtection="1"/>
    <xf numFmtId="0" fontId="12" fillId="27" borderId="9" xfId="0" quotePrefix="1" applyFont="1" applyFill="1" applyBorder="1"/>
    <xf numFmtId="3" fontId="12" fillId="28" borderId="10" xfId="1" applyNumberFormat="1" applyFont="1" applyFill="1" applyBorder="1" applyProtection="1"/>
    <xf numFmtId="3" fontId="23" fillId="28" borderId="10" xfId="1" applyNumberFormat="1" applyFont="1" applyFill="1" applyBorder="1" applyProtection="1"/>
    <xf numFmtId="0" fontId="12" fillId="27" borderId="19" xfId="0" quotePrefix="1" applyFont="1" applyFill="1" applyBorder="1"/>
    <xf numFmtId="3" fontId="23" fillId="28" borderId="20" xfId="1" applyNumberFormat="1" applyFont="1" applyFill="1" applyBorder="1" applyProtection="1"/>
    <xf numFmtId="0" fontId="12" fillId="28" borderId="11" xfId="0" quotePrefix="1" applyFont="1" applyFill="1" applyBorder="1"/>
    <xf numFmtId="3" fontId="12" fillId="28" borderId="13" xfId="1" applyNumberFormat="1" applyFont="1" applyFill="1" applyBorder="1" applyProtection="1"/>
    <xf numFmtId="3" fontId="32" fillId="27" borderId="0" xfId="0" applyNumberFormat="1" applyFont="1" applyFill="1"/>
    <xf numFmtId="167" fontId="32" fillId="27" borderId="0" xfId="1" applyNumberFormat="1" applyFont="1" applyFill="1"/>
    <xf numFmtId="167" fontId="33" fillId="27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8" fontId="3" fillId="0" borderId="0" xfId="0" applyNumberFormat="1" applyFont="1" applyAlignment="1">
      <alignment horizontal="right"/>
    </xf>
    <xf numFmtId="0" fontId="34" fillId="0" borderId="0" xfId="0" applyFont="1"/>
    <xf numFmtId="9" fontId="34" fillId="0" borderId="0" xfId="0" applyNumberFormat="1" applyFont="1"/>
    <xf numFmtId="3" fontId="34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3" fontId="12" fillId="0" borderId="48" xfId="1" applyNumberFormat="1" applyFont="1" applyBorder="1" applyAlignment="1" applyProtection="1">
      <alignment horizontal="right"/>
    </xf>
    <xf numFmtId="0" fontId="0" fillId="0" borderId="47" xfId="0" applyBorder="1"/>
    <xf numFmtId="0" fontId="0" fillId="0" borderId="47" xfId="0" applyBorder="1" applyAlignment="1">
      <alignment horizontal="center"/>
    </xf>
    <xf numFmtId="167" fontId="4" fillId="0" borderId="47" xfId="1" applyNumberFormat="1" applyBorder="1"/>
    <xf numFmtId="0" fontId="29" fillId="0" borderId="0" xfId="0" applyFont="1" applyAlignment="1">
      <alignment horizontal="center" wrapText="1"/>
    </xf>
    <xf numFmtId="167" fontId="4" fillId="0" borderId="47" xfId="1" applyNumberForma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165" fontId="29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29" fillId="20" borderId="47" xfId="0" applyFont="1" applyFill="1" applyBorder="1" applyAlignment="1">
      <alignment horizontal="center" vertical="center" wrapText="1"/>
    </xf>
    <xf numFmtId="167" fontId="29" fillId="0" borderId="47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6" fillId="11" borderId="6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11" borderId="9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22" borderId="3" xfId="0" applyNumberFormat="1" applyFont="1" applyFill="1" applyBorder="1" applyAlignment="1">
      <alignment horizontal="center"/>
    </xf>
    <xf numFmtId="3" fontId="8" fillId="22" borderId="10" xfId="0" applyNumberFormat="1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wrapText="1"/>
    </xf>
    <xf numFmtId="0" fontId="6" fillId="12" borderId="3" xfId="0" applyFont="1" applyFill="1" applyBorder="1" applyAlignment="1">
      <alignment horizontal="center" wrapText="1"/>
    </xf>
    <xf numFmtId="0" fontId="6" fillId="12" borderId="10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5" xfId="0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0" fontId="6" fillId="0" borderId="26" xfId="0" applyFont="1" applyBorder="1" applyAlignment="1">
      <alignment horizontal="right" wrapText="1"/>
    </xf>
    <xf numFmtId="0" fontId="6" fillId="11" borderId="9" xfId="0" applyFont="1" applyFill="1" applyBorder="1" applyAlignment="1">
      <alignment horizontal="right" wrapText="1"/>
    </xf>
    <xf numFmtId="0" fontId="6" fillId="11" borderId="3" xfId="0" applyFont="1" applyFill="1" applyBorder="1" applyAlignment="1">
      <alignment horizontal="right" wrapText="1"/>
    </xf>
    <xf numFmtId="0" fontId="6" fillId="11" borderId="11" xfId="0" applyFont="1" applyFill="1" applyBorder="1" applyAlignment="1">
      <alignment horizontal="right" wrapText="1"/>
    </xf>
    <xf numFmtId="0" fontId="6" fillId="11" borderId="12" xfId="0" applyFont="1" applyFill="1" applyBorder="1" applyAlignment="1">
      <alignment horizontal="right" wrapText="1"/>
    </xf>
    <xf numFmtId="0" fontId="6" fillId="13" borderId="9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 wrapText="1"/>
    </xf>
    <xf numFmtId="0" fontId="6" fillId="13" borderId="10" xfId="0" applyFont="1" applyFill="1" applyBorder="1" applyAlignment="1">
      <alignment horizontal="center" wrapText="1"/>
    </xf>
    <xf numFmtId="0" fontId="6" fillId="11" borderId="25" xfId="0" applyFont="1" applyFill="1" applyBorder="1" applyAlignment="1">
      <alignment horizontal="right" wrapText="1"/>
    </xf>
    <xf numFmtId="0" fontId="6" fillId="11" borderId="24" xfId="0" applyFont="1" applyFill="1" applyBorder="1" applyAlignment="1">
      <alignment horizontal="right" wrapText="1"/>
    </xf>
    <xf numFmtId="0" fontId="6" fillId="11" borderId="26" xfId="0" applyFont="1" applyFill="1" applyBorder="1" applyAlignment="1">
      <alignment horizontal="right" wrapText="1"/>
    </xf>
    <xf numFmtId="3" fontId="12" fillId="0" borderId="23" xfId="1" applyNumberFormat="1" applyFont="1" applyBorder="1" applyAlignment="1" applyProtection="1">
      <alignment horizontal="center"/>
    </xf>
    <xf numFmtId="3" fontId="12" fillId="0" borderId="24" xfId="1" applyNumberFormat="1" applyFont="1" applyBorder="1" applyAlignment="1" applyProtection="1">
      <alignment horizontal="center"/>
    </xf>
    <xf numFmtId="0" fontId="30" fillId="26" borderId="47" xfId="0" quotePrefix="1" applyFont="1" applyFill="1" applyBorder="1" applyAlignment="1">
      <alignment horizontal="center"/>
    </xf>
  </cellXfs>
  <cellStyles count="5">
    <cellStyle name="Гиперссылка 2" xfId="3" xr:uid="{00000000-0005-0000-0000-000001000000}"/>
    <cellStyle name="Обычный" xfId="0" builtinId="0"/>
    <cellStyle name="Процентный" xfId="2" builtinId="5"/>
    <cellStyle name="Финансовый" xfId="1" builtinId="3"/>
    <cellStyle name="Финансовый 2" xfId="4" xr:uid="{00000000-0005-0000-0000-000005000000}"/>
  </cellStyles>
  <dxfs count="2">
    <dxf>
      <font>
        <b/>
        <i val="0"/>
        <color rgb="FF00B050"/>
      </font>
    </dxf>
    <dxf>
      <font>
        <b/>
        <i val="0"/>
        <color rgb="FF9C000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2F2F2"/>
      <rgbColor rgb="FFDEEBF7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BE5D6"/>
      <rgbColor rgb="FF99FFCC"/>
      <rgbColor rgb="FFF6E972"/>
      <rgbColor rgb="FF99CCFF"/>
      <rgbColor rgb="FFFF99CC"/>
      <rgbColor rgb="FFCC99FF"/>
      <rgbColor rgb="FFFFD685"/>
      <rgbColor rgb="FF2E75B6"/>
      <rgbColor rgb="FF33CCCC"/>
      <rgbColor rgb="FF92D050"/>
      <rgbColor rgb="FFFFD966"/>
      <rgbColor rgb="FFFF9900"/>
      <rgbColor rgb="FFC55A11"/>
      <rgbColor rgb="FF666699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MJ51"/>
  <sheetViews>
    <sheetView showGridLines="0" zoomScaleNormal="100" workbookViewId="0"/>
  </sheetViews>
  <sheetFormatPr defaultColWidth="9.109375" defaultRowHeight="13.2"/>
  <cols>
    <col min="1" max="1" width="7.6640625" style="1" customWidth="1"/>
    <col min="2" max="2" width="57" style="1" customWidth="1"/>
    <col min="3" max="3" width="8.44140625" style="4" customWidth="1"/>
    <col min="4" max="4" width="21.44140625" style="5" customWidth="1"/>
    <col min="5" max="5" width="26.44140625" style="5" customWidth="1"/>
    <col min="6" max="6" width="3.6640625" style="1" customWidth="1"/>
    <col min="7" max="7" width="10.109375" style="1" bestFit="1" customWidth="1"/>
    <col min="8" max="1024" width="9.109375" style="1"/>
    <col min="1025" max="16384" width="9.109375" style="2"/>
  </cols>
  <sheetData>
    <row r="1" spans="2:7" ht="13.8" thickBot="1"/>
    <row r="2" spans="2:7">
      <c r="B2" s="279" t="s">
        <v>0</v>
      </c>
      <c r="C2" s="280"/>
      <c r="D2" s="280"/>
      <c r="E2" s="281"/>
    </row>
    <row r="3" spans="2:7">
      <c r="B3" s="71" t="s">
        <v>1</v>
      </c>
      <c r="C3" s="66"/>
      <c r="D3" s="66"/>
      <c r="E3" s="72"/>
      <c r="F3" s="3"/>
      <c r="G3" s="3"/>
    </row>
    <row r="4" spans="2:7">
      <c r="B4" s="45" t="s">
        <v>2</v>
      </c>
      <c r="C4" s="67"/>
      <c r="D4" s="68"/>
      <c r="E4" s="73"/>
      <c r="F4" s="3"/>
      <c r="G4" s="3"/>
    </row>
    <row r="5" spans="2:7">
      <c r="B5" s="282" t="s">
        <v>3</v>
      </c>
      <c r="C5" s="283"/>
      <c r="D5" s="283"/>
      <c r="E5" s="284"/>
      <c r="F5" s="3"/>
      <c r="G5" s="3"/>
    </row>
    <row r="6" spans="2:7">
      <c r="B6" s="52" t="s">
        <v>4</v>
      </c>
      <c r="C6" s="285" t="str">
        <f>CONCATENATE(COUNTIF('Детализация на 5 лет'!B40:BI40,"&lt;0"), " месяцев")</f>
        <v>22 месяцев</v>
      </c>
      <c r="D6" s="285"/>
      <c r="E6" s="286"/>
      <c r="F6" s="3"/>
      <c r="G6" s="3"/>
    </row>
    <row r="7" spans="2:7">
      <c r="B7" s="52" t="s">
        <v>5</v>
      </c>
      <c r="C7" s="285" t="s">
        <v>396</v>
      </c>
      <c r="D7" s="285"/>
      <c r="E7" s="286"/>
      <c r="F7" s="3"/>
      <c r="G7" s="3"/>
    </row>
    <row r="8" spans="2:7">
      <c r="B8" s="52" t="s">
        <v>6</v>
      </c>
      <c r="C8" s="285" t="s">
        <v>7</v>
      </c>
      <c r="D8" s="285"/>
      <c r="E8" s="286"/>
      <c r="F8" s="3"/>
      <c r="G8" s="3"/>
    </row>
    <row r="9" spans="2:7">
      <c r="B9" s="52" t="s">
        <v>8</v>
      </c>
      <c r="C9" s="285" t="s">
        <v>9</v>
      </c>
      <c r="D9" s="285"/>
      <c r="E9" s="286"/>
      <c r="F9" s="3"/>
      <c r="G9" s="3"/>
    </row>
    <row r="10" spans="2:7">
      <c r="B10" s="52" t="s">
        <v>10</v>
      </c>
      <c r="C10" s="287">
        <v>16000000</v>
      </c>
      <c r="D10" s="287"/>
      <c r="E10" s="288"/>
      <c r="F10" s="3"/>
      <c r="G10" s="3"/>
    </row>
    <row r="11" spans="2:7">
      <c r="B11" s="52" t="s">
        <v>397</v>
      </c>
      <c r="C11" s="287">
        <f>Инвестиции!C4+Инвестиции!C7+Инвестиции!C8+Инвестиции!C9</f>
        <v>81600000</v>
      </c>
      <c r="D11" s="287"/>
      <c r="E11" s="288"/>
      <c r="F11" s="3"/>
      <c r="G11" s="3"/>
    </row>
    <row r="12" spans="2:7">
      <c r="B12" s="52" t="s">
        <v>299</v>
      </c>
      <c r="C12" s="289">
        <v>117600</v>
      </c>
      <c r="D12" s="289"/>
      <c r="E12" s="290"/>
      <c r="F12" s="3"/>
      <c r="G12" s="261"/>
    </row>
    <row r="13" spans="2:7">
      <c r="B13" s="52" t="s">
        <v>11</v>
      </c>
      <c r="C13" s="287">
        <f>Справочник!B3</f>
        <v>2400000</v>
      </c>
      <c r="D13" s="287"/>
      <c r="E13" s="288"/>
      <c r="F13" s="3"/>
      <c r="G13" s="3"/>
    </row>
    <row r="14" spans="2:7">
      <c r="B14" s="282" t="s">
        <v>300</v>
      </c>
      <c r="C14" s="283"/>
      <c r="D14" s="283"/>
      <c r="E14" s="284"/>
    </row>
    <row r="15" spans="2:7">
      <c r="B15" s="74"/>
      <c r="C15" s="69" t="s">
        <v>12</v>
      </c>
      <c r="D15" s="70" t="s">
        <v>13</v>
      </c>
      <c r="E15" s="75" t="s">
        <v>301</v>
      </c>
    </row>
    <row r="16" spans="2:7">
      <c r="B16" s="52" t="s">
        <v>14</v>
      </c>
      <c r="C16" s="86">
        <f>Справочник!B9</f>
        <v>60</v>
      </c>
      <c r="D16" s="80"/>
      <c r="E16" s="76"/>
    </row>
    <row r="17" spans="1:1024">
      <c r="B17" s="52" t="s">
        <v>15</v>
      </c>
      <c r="C17" s="87">
        <v>45</v>
      </c>
      <c r="D17" s="80"/>
      <c r="E17" s="76"/>
    </row>
    <row r="18" spans="1:1024">
      <c r="B18" s="52" t="s">
        <v>16</v>
      </c>
      <c r="C18" s="88">
        <f>+C17/C16</f>
        <v>0.75</v>
      </c>
      <c r="D18" s="80"/>
      <c r="E18" s="81"/>
    </row>
    <row r="19" spans="1:1024">
      <c r="B19" s="52" t="s">
        <v>17</v>
      </c>
      <c r="C19" s="87">
        <v>40</v>
      </c>
      <c r="D19" s="80">
        <f>Справочник!B7</f>
        <v>250000</v>
      </c>
      <c r="E19" s="81">
        <f>C19*D19</f>
        <v>10000000</v>
      </c>
    </row>
    <row r="20" spans="1:1024">
      <c r="B20" s="52" t="s">
        <v>18</v>
      </c>
      <c r="C20" s="87">
        <f>ROUNDDOWN(AVERAGE('Детализация на 5 лет'!N5:Z5),0)</f>
        <v>6</v>
      </c>
      <c r="D20" s="80">
        <f>Справочник!B8</f>
        <v>180000</v>
      </c>
      <c r="E20" s="81">
        <f>C20*D20</f>
        <v>1080000</v>
      </c>
    </row>
    <row r="21" spans="1:1024">
      <c r="B21" s="52" t="s">
        <v>19</v>
      </c>
      <c r="C21" s="87">
        <f>AVERAGE('Детализация на 5 лет'!N6:Y6)</f>
        <v>1.8333333333333333</v>
      </c>
      <c r="D21" s="80">
        <f>Справочник!B10</f>
        <v>250000</v>
      </c>
      <c r="E21" s="81">
        <f>C21*D21</f>
        <v>458333.33333333331</v>
      </c>
    </row>
    <row r="22" spans="1:1024">
      <c r="B22" s="291" t="s">
        <v>20</v>
      </c>
      <c r="C22" s="292"/>
      <c r="D22" s="292"/>
      <c r="E22" s="293"/>
    </row>
    <row r="23" spans="1:1024">
      <c r="B23" s="29" t="s">
        <v>21</v>
      </c>
      <c r="C23" s="79">
        <f>Справочник!E18</f>
        <v>3</v>
      </c>
      <c r="D23" s="80">
        <f>Справочник!F18</f>
        <v>19600</v>
      </c>
      <c r="E23" s="81">
        <f>D23*C23</f>
        <v>58800</v>
      </c>
    </row>
    <row r="24" spans="1:1024">
      <c r="B24" s="29" t="s">
        <v>22</v>
      </c>
      <c r="C24" s="79">
        <f>Справочник!E19</f>
        <v>5</v>
      </c>
      <c r="D24" s="80">
        <f>Справочник!F19</f>
        <v>15680</v>
      </c>
      <c r="E24" s="81">
        <f>D24*C24</f>
        <v>78400</v>
      </c>
    </row>
    <row r="25" spans="1:1024">
      <c r="B25" s="89" t="s">
        <v>23</v>
      </c>
      <c r="C25" s="79">
        <f>Справочник!E20</f>
        <v>1</v>
      </c>
      <c r="D25" s="80">
        <f>Справочник!F20</f>
        <v>39200</v>
      </c>
      <c r="E25" s="81">
        <f>D25*C25</f>
        <v>39200</v>
      </c>
    </row>
    <row r="26" spans="1:1024">
      <c r="B26" s="29" t="s">
        <v>24</v>
      </c>
      <c r="C26" s="79">
        <f>Справочник!E21</f>
        <v>5</v>
      </c>
      <c r="D26" s="80">
        <f>Справочник!F21</f>
        <v>6272</v>
      </c>
      <c r="E26" s="81">
        <f>D26*C26</f>
        <v>31360</v>
      </c>
    </row>
    <row r="27" spans="1:1024" s="106" customFormat="1">
      <c r="A27" s="101"/>
      <c r="B27" s="102" t="s">
        <v>25</v>
      </c>
      <c r="C27" s="103"/>
      <c r="D27" s="104"/>
      <c r="E27" s="105">
        <f>(E23+E24+E25+E26)*C18</f>
        <v>155820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</row>
    <row r="28" spans="1:1024">
      <c r="B28" s="296" t="s">
        <v>302</v>
      </c>
      <c r="C28" s="297"/>
      <c r="D28" s="298"/>
      <c r="E28" s="90"/>
    </row>
    <row r="29" spans="1:1024">
      <c r="B29" s="294" t="s">
        <v>26</v>
      </c>
      <c r="C29" s="295"/>
      <c r="D29" s="295"/>
      <c r="E29" s="76">
        <f>+E19+E20+E21+E27</f>
        <v>11694153.333333334</v>
      </c>
    </row>
    <row r="30" spans="1:1024">
      <c r="B30" s="294" t="s">
        <v>27</v>
      </c>
      <c r="C30" s="295"/>
      <c r="D30" s="295"/>
      <c r="E30" s="76">
        <f>E29*12</f>
        <v>140329840</v>
      </c>
    </row>
    <row r="31" spans="1:1024">
      <c r="B31" s="282" t="s">
        <v>303</v>
      </c>
      <c r="C31" s="283"/>
      <c r="D31" s="283"/>
      <c r="E31" s="284"/>
    </row>
    <row r="32" spans="1:1024" ht="13.8">
      <c r="B32" s="52" t="s">
        <v>28</v>
      </c>
      <c r="C32" s="83"/>
      <c r="D32" s="84"/>
      <c r="E32" s="85">
        <f>(Справочник!B11*Справочник!B12)+Справочник!B13</f>
        <v>2941120</v>
      </c>
    </row>
    <row r="33" spans="2:5" ht="13.8">
      <c r="B33" s="52" t="s">
        <v>29</v>
      </c>
      <c r="C33" s="79"/>
      <c r="D33" s="80"/>
      <c r="E33" s="81">
        <f>AVERAGE('Детализация на 5 лет'!B27:BI27)</f>
        <v>360000</v>
      </c>
    </row>
    <row r="34" spans="2:5" ht="13.8">
      <c r="B34" s="52" t="s">
        <v>30</v>
      </c>
      <c r="C34" s="79"/>
      <c r="D34" s="80"/>
      <c r="E34" s="81">
        <f>AVERAGE('Детализация на 5 лет'!B17:BI17)</f>
        <v>1087000</v>
      </c>
    </row>
    <row r="35" spans="2:5" ht="13.8">
      <c r="B35" s="52" t="s">
        <v>31</v>
      </c>
      <c r="C35" s="79"/>
      <c r="D35" s="80"/>
      <c r="E35" s="81">
        <f>AVERAGE('Детализация на 5 лет'!B16:BI16)</f>
        <v>86613.333333333328</v>
      </c>
    </row>
    <row r="36" spans="2:5" ht="13.8">
      <c r="B36" s="52" t="s">
        <v>32</v>
      </c>
      <c r="C36" s="79"/>
      <c r="D36" s="80"/>
      <c r="E36" s="81">
        <f>+'Детализация на 5 лет'!B18</f>
        <v>45000</v>
      </c>
    </row>
    <row r="37" spans="2:5" ht="13.8">
      <c r="B37" s="52" t="s">
        <v>33</v>
      </c>
      <c r="C37" s="79"/>
      <c r="D37" s="80"/>
      <c r="E37" s="81">
        <f>+'Детализация на 5 лет'!B31</f>
        <v>15000</v>
      </c>
    </row>
    <row r="38" spans="2:5" ht="13.8">
      <c r="B38" s="52" t="s">
        <v>34</v>
      </c>
      <c r="C38" s="79"/>
      <c r="D38" s="80"/>
      <c r="E38" s="81">
        <f>+'Детализация на 5 лет'!B32</f>
        <v>39200</v>
      </c>
    </row>
    <row r="39" spans="2:5" ht="13.8">
      <c r="B39" s="303" t="s">
        <v>35</v>
      </c>
      <c r="C39" s="304"/>
      <c r="D39" s="304"/>
      <c r="E39" s="305"/>
    </row>
    <row r="40" spans="2:5" ht="13.8">
      <c r="B40" s="52" t="s">
        <v>36</v>
      </c>
      <c r="C40" s="79">
        <f>+Справочник!E2</f>
        <v>1</v>
      </c>
      <c r="D40" s="80">
        <f>Справочник!F2</f>
        <v>1000000</v>
      </c>
      <c r="E40" s="81">
        <f>D40*C40</f>
        <v>1000000</v>
      </c>
    </row>
    <row r="41" spans="2:5" ht="13.8">
      <c r="B41" s="52" t="s">
        <v>37</v>
      </c>
      <c r="C41" s="79">
        <f>+Справочник!E3</f>
        <v>4</v>
      </c>
      <c r="D41" s="80">
        <f>+Справочник!F3</f>
        <v>320000</v>
      </c>
      <c r="E41" s="81">
        <f>+D41*C41</f>
        <v>1280000</v>
      </c>
    </row>
    <row r="42" spans="2:5" ht="13.8">
      <c r="B42" s="52" t="s">
        <v>135</v>
      </c>
      <c r="C42" s="79">
        <f>+Справочник!E4</f>
        <v>4</v>
      </c>
      <c r="D42" s="80">
        <f>+Справочник!F4</f>
        <v>260000</v>
      </c>
      <c r="E42" s="81">
        <f>+D42*C42</f>
        <v>1040000</v>
      </c>
    </row>
    <row r="43" spans="2:5" ht="13.8">
      <c r="B43" s="52" t="s">
        <v>38</v>
      </c>
      <c r="C43" s="79">
        <f>+Справочник!E6</f>
        <v>1</v>
      </c>
      <c r="D43" s="80">
        <f>+Справочник!F6</f>
        <v>260000</v>
      </c>
      <c r="E43" s="81">
        <f>+D43*C43</f>
        <v>260000</v>
      </c>
    </row>
    <row r="44" spans="2:5" ht="13.8">
      <c r="B44" s="52" t="s">
        <v>39</v>
      </c>
      <c r="C44" s="79"/>
      <c r="D44" s="80"/>
      <c r="E44" s="81">
        <f>Справочник!G8</f>
        <v>78400</v>
      </c>
    </row>
    <row r="45" spans="2:5" ht="16.5" customHeight="1">
      <c r="B45" s="52" t="s">
        <v>136</v>
      </c>
      <c r="C45" s="82"/>
      <c r="D45" s="80"/>
      <c r="E45" s="81">
        <f>+SUM(E40:E43)*0.31/2</f>
        <v>554900</v>
      </c>
    </row>
    <row r="46" spans="2:5" ht="13.8">
      <c r="B46" s="296" t="s">
        <v>304</v>
      </c>
      <c r="C46" s="297"/>
      <c r="D46" s="298"/>
      <c r="E46" s="90"/>
    </row>
    <row r="47" spans="2:5" ht="13.8">
      <c r="B47" s="294" t="s">
        <v>26</v>
      </c>
      <c r="C47" s="295"/>
      <c r="D47" s="295"/>
      <c r="E47" s="76">
        <f>+SUM(E32:E38)+SUM(E40:E45)+C12</f>
        <v>8904833.3333333321</v>
      </c>
    </row>
    <row r="48" spans="2:5" ht="13.8">
      <c r="B48" s="294" t="s">
        <v>27</v>
      </c>
      <c r="C48" s="295"/>
      <c r="D48" s="295"/>
      <c r="E48" s="76">
        <f>E47*12</f>
        <v>106857999.99999999</v>
      </c>
    </row>
    <row r="49" spans="2:5" ht="13.8">
      <c r="B49" s="306" t="s">
        <v>305</v>
      </c>
      <c r="C49" s="307"/>
      <c r="D49" s="308"/>
      <c r="E49" s="78"/>
    </row>
    <row r="50" spans="2:5" ht="13.8">
      <c r="B50" s="299" t="s">
        <v>40</v>
      </c>
      <c r="C50" s="300"/>
      <c r="D50" s="300"/>
      <c r="E50" s="119">
        <f>E29-E47-C12</f>
        <v>2671720.0000000019</v>
      </c>
    </row>
    <row r="51" spans="2:5" ht="14.4" thickBot="1">
      <c r="B51" s="301" t="s">
        <v>41</v>
      </c>
      <c r="C51" s="302"/>
      <c r="D51" s="302"/>
      <c r="E51" s="77">
        <f>E30-E48</f>
        <v>33471840.000000015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B50:D50"/>
    <mergeCell ref="B51:D51"/>
    <mergeCell ref="B31:E31"/>
    <mergeCell ref="B39:E39"/>
    <mergeCell ref="B47:D47"/>
    <mergeCell ref="B48:D48"/>
    <mergeCell ref="B49:D49"/>
    <mergeCell ref="B46:D46"/>
    <mergeCell ref="B14:E14"/>
    <mergeCell ref="B22:E22"/>
    <mergeCell ref="B29:D29"/>
    <mergeCell ref="B30:D30"/>
    <mergeCell ref="B28:D28"/>
    <mergeCell ref="C9:E9"/>
    <mergeCell ref="C10:E10"/>
    <mergeCell ref="C11:E11"/>
    <mergeCell ref="C12:E12"/>
    <mergeCell ref="C13:E13"/>
    <mergeCell ref="B2:E2"/>
    <mergeCell ref="B5:E5"/>
    <mergeCell ref="C6:E6"/>
    <mergeCell ref="C7:E7"/>
    <mergeCell ref="C8:E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K6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4.4"/>
  <cols>
    <col min="1" max="1" width="45.5546875" style="114" customWidth="1"/>
    <col min="2" max="3" width="15.5546875" style="7" customWidth="1"/>
    <col min="4" max="4" width="16.33203125" style="7" customWidth="1"/>
    <col min="5" max="12" width="15.5546875" style="7" customWidth="1"/>
    <col min="13" max="61" width="15.5546875" style="8" customWidth="1"/>
    <col min="62" max="62" width="16.88671875" style="7" customWidth="1"/>
    <col min="63" max="63" width="33.6640625" style="8" customWidth="1"/>
    <col min="64" max="869" width="9.109375" style="8"/>
  </cols>
  <sheetData>
    <row r="1" spans="1:62" s="7" customFormat="1" ht="15" thickBot="1">
      <c r="A1" s="110" t="s">
        <v>42</v>
      </c>
      <c r="B1" s="32" t="s">
        <v>48</v>
      </c>
      <c r="C1" s="32" t="s">
        <v>49</v>
      </c>
      <c r="D1" s="32" t="s">
        <v>50</v>
      </c>
      <c r="E1" s="32" t="s">
        <v>51</v>
      </c>
      <c r="F1" s="32" t="s">
        <v>52</v>
      </c>
      <c r="G1" s="32" t="s">
        <v>53</v>
      </c>
      <c r="H1" s="32" t="s">
        <v>54</v>
      </c>
      <c r="I1" s="32" t="s">
        <v>43</v>
      </c>
      <c r="J1" s="32" t="s">
        <v>44</v>
      </c>
      <c r="K1" s="32" t="s">
        <v>45</v>
      </c>
      <c r="L1" s="32" t="s">
        <v>46</v>
      </c>
      <c r="M1" s="32" t="s">
        <v>47</v>
      </c>
      <c r="N1" s="32" t="s">
        <v>48</v>
      </c>
      <c r="O1" s="32" t="s">
        <v>49</v>
      </c>
      <c r="P1" s="32" t="s">
        <v>50</v>
      </c>
      <c r="Q1" s="32" t="s">
        <v>51</v>
      </c>
      <c r="R1" s="32" t="s">
        <v>52</v>
      </c>
      <c r="S1" s="32" t="s">
        <v>53</v>
      </c>
      <c r="T1" s="32" t="s">
        <v>54</v>
      </c>
      <c r="U1" s="32" t="s">
        <v>43</v>
      </c>
      <c r="V1" s="32" t="s">
        <v>44</v>
      </c>
      <c r="W1" s="32" t="s">
        <v>45</v>
      </c>
      <c r="X1" s="32" t="s">
        <v>46</v>
      </c>
      <c r="Y1" s="32" t="s">
        <v>47</v>
      </c>
      <c r="Z1" s="32" t="s">
        <v>48</v>
      </c>
      <c r="AA1" s="32" t="s">
        <v>49</v>
      </c>
      <c r="AB1" s="32" t="s">
        <v>50</v>
      </c>
      <c r="AC1" s="32" t="s">
        <v>51</v>
      </c>
      <c r="AD1" s="32" t="s">
        <v>52</v>
      </c>
      <c r="AE1" s="32" t="s">
        <v>53</v>
      </c>
      <c r="AF1" s="32" t="s">
        <v>54</v>
      </c>
      <c r="AG1" s="32" t="s">
        <v>43</v>
      </c>
      <c r="AH1" s="32" t="s">
        <v>44</v>
      </c>
      <c r="AI1" s="32" t="s">
        <v>45</v>
      </c>
      <c r="AJ1" s="32" t="s">
        <v>46</v>
      </c>
      <c r="AK1" s="32" t="s">
        <v>47</v>
      </c>
      <c r="AL1" s="32" t="s">
        <v>48</v>
      </c>
      <c r="AM1" s="32" t="s">
        <v>49</v>
      </c>
      <c r="AN1" s="32" t="s">
        <v>50</v>
      </c>
      <c r="AO1" s="32" t="s">
        <v>51</v>
      </c>
      <c r="AP1" s="32" t="s">
        <v>52</v>
      </c>
      <c r="AQ1" s="32" t="s">
        <v>53</v>
      </c>
      <c r="AR1" s="32" t="s">
        <v>54</v>
      </c>
      <c r="AS1" s="32" t="s">
        <v>43</v>
      </c>
      <c r="AT1" s="32" t="s">
        <v>44</v>
      </c>
      <c r="AU1" s="32" t="s">
        <v>45</v>
      </c>
      <c r="AV1" s="32" t="s">
        <v>46</v>
      </c>
      <c r="AW1" s="32" t="s">
        <v>47</v>
      </c>
      <c r="AX1" s="32" t="s">
        <v>48</v>
      </c>
      <c r="AY1" s="32" t="s">
        <v>49</v>
      </c>
      <c r="AZ1" s="32" t="s">
        <v>50</v>
      </c>
      <c r="BA1" s="32" t="s">
        <v>51</v>
      </c>
      <c r="BB1" s="32" t="s">
        <v>52</v>
      </c>
      <c r="BC1" s="32" t="s">
        <v>53</v>
      </c>
      <c r="BD1" s="32" t="s">
        <v>54</v>
      </c>
      <c r="BE1" s="32" t="s">
        <v>43</v>
      </c>
      <c r="BF1" s="32" t="s">
        <v>44</v>
      </c>
      <c r="BG1" s="32" t="s">
        <v>45</v>
      </c>
      <c r="BH1" s="32" t="s">
        <v>46</v>
      </c>
      <c r="BI1" s="32" t="s">
        <v>47</v>
      </c>
    </row>
    <row r="2" spans="1:62" s="7" customFormat="1" ht="15" thickBot="1">
      <c r="A2" s="123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2" s="8" customFormat="1">
      <c r="A3" s="11" t="s">
        <v>55</v>
      </c>
      <c r="B3" s="9">
        <v>1</v>
      </c>
      <c r="C3" s="9">
        <v>1</v>
      </c>
      <c r="D3" s="9">
        <v>0.9</v>
      </c>
      <c r="E3" s="9">
        <v>0.8</v>
      </c>
      <c r="F3" s="9">
        <v>0.85</v>
      </c>
      <c r="G3" s="9">
        <v>1</v>
      </c>
      <c r="H3" s="9">
        <v>1</v>
      </c>
      <c r="I3" s="9">
        <v>0.8</v>
      </c>
      <c r="J3" s="9">
        <v>0.7</v>
      </c>
      <c r="K3" s="9">
        <v>0.65</v>
      </c>
      <c r="L3" s="9">
        <v>0.65</v>
      </c>
      <c r="M3" s="9">
        <v>0.85</v>
      </c>
      <c r="N3" s="9">
        <v>1</v>
      </c>
      <c r="O3" s="9">
        <v>1</v>
      </c>
      <c r="P3" s="9">
        <v>0.9</v>
      </c>
      <c r="Q3" s="9">
        <v>0.8</v>
      </c>
      <c r="R3" s="9">
        <v>0.85</v>
      </c>
      <c r="S3" s="9">
        <v>1</v>
      </c>
      <c r="T3" s="9">
        <v>1</v>
      </c>
      <c r="U3" s="9">
        <v>0.8</v>
      </c>
      <c r="V3" s="9">
        <v>0.7</v>
      </c>
      <c r="W3" s="9">
        <v>0.65</v>
      </c>
      <c r="X3" s="9">
        <v>0.65</v>
      </c>
      <c r="Y3" s="9">
        <v>0.85</v>
      </c>
      <c r="Z3" s="9">
        <v>1</v>
      </c>
      <c r="AA3" s="9">
        <v>1</v>
      </c>
      <c r="AB3" s="9">
        <v>0.9</v>
      </c>
      <c r="AC3" s="9">
        <v>0.8</v>
      </c>
      <c r="AD3" s="9">
        <v>0.85</v>
      </c>
      <c r="AE3" s="9">
        <v>1</v>
      </c>
      <c r="AF3" s="9">
        <v>1</v>
      </c>
      <c r="AG3" s="9">
        <v>0.8</v>
      </c>
      <c r="AH3" s="9">
        <v>0.7</v>
      </c>
      <c r="AI3" s="9">
        <v>0.65</v>
      </c>
      <c r="AJ3" s="9">
        <v>0.65</v>
      </c>
      <c r="AK3" s="9">
        <v>1.65</v>
      </c>
      <c r="AL3" s="9">
        <v>2.65</v>
      </c>
      <c r="AM3" s="9">
        <v>3.65</v>
      </c>
      <c r="AN3" s="9">
        <v>4.6500000000000004</v>
      </c>
      <c r="AO3" s="9">
        <v>5.65</v>
      </c>
      <c r="AP3" s="9">
        <v>6.65</v>
      </c>
      <c r="AQ3" s="9">
        <v>7.65</v>
      </c>
      <c r="AR3" s="9">
        <v>8.65</v>
      </c>
      <c r="AS3" s="9">
        <v>9.65</v>
      </c>
      <c r="AT3" s="9">
        <v>10.65</v>
      </c>
      <c r="AU3" s="9">
        <v>11.65</v>
      </c>
      <c r="AV3" s="9">
        <v>12.65</v>
      </c>
      <c r="AW3" s="9">
        <v>13.65</v>
      </c>
      <c r="AX3" s="9">
        <v>14.65</v>
      </c>
      <c r="AY3" s="9">
        <v>15.65</v>
      </c>
      <c r="AZ3" s="9">
        <v>16.649999999999999</v>
      </c>
      <c r="BA3" s="9">
        <v>17.649999999999999</v>
      </c>
      <c r="BB3" s="9">
        <v>18.649999999999999</v>
      </c>
      <c r="BC3" s="9">
        <v>19.649999999999999</v>
      </c>
      <c r="BD3" s="9">
        <v>20.65</v>
      </c>
      <c r="BE3" s="9">
        <v>21.65</v>
      </c>
      <c r="BF3" s="9">
        <v>22.65</v>
      </c>
      <c r="BG3" s="9">
        <v>23.65</v>
      </c>
      <c r="BH3" s="9">
        <v>24.65</v>
      </c>
      <c r="BI3" s="9">
        <v>25.65</v>
      </c>
      <c r="BJ3" s="7"/>
    </row>
    <row r="4" spans="1:62" s="8" customFormat="1">
      <c r="A4" s="108" t="s">
        <v>56</v>
      </c>
      <c r="B4" s="109">
        <f>B7/Справочник!$B$9</f>
        <v>0.25</v>
      </c>
      <c r="C4" s="109">
        <f>C7/Справочник!$B$9</f>
        <v>0.3</v>
      </c>
      <c r="D4" s="109">
        <f>D7/Справочник!$B$9</f>
        <v>0.35</v>
      </c>
      <c r="E4" s="109">
        <f>E7/Справочник!$B$9</f>
        <v>0.4</v>
      </c>
      <c r="F4" s="109">
        <f>F7/Справочник!$B$9</f>
        <v>0.45</v>
      </c>
      <c r="G4" s="109">
        <f>G7/Справочник!$B$9</f>
        <v>0.48333333333333334</v>
      </c>
      <c r="H4" s="109">
        <f>H7/Справочник!$B$9</f>
        <v>0.53333333333333333</v>
      </c>
      <c r="I4" s="109">
        <f>I7/Справочник!$B$9</f>
        <v>0.58333333333333337</v>
      </c>
      <c r="J4" s="109">
        <f>J7/Справочник!$B$9</f>
        <v>0.6166666666666667</v>
      </c>
      <c r="K4" s="109">
        <f>K7/Справочник!$B$9</f>
        <v>0.66666666666666663</v>
      </c>
      <c r="L4" s="109">
        <f>L7/Справочник!$B$9</f>
        <v>0.71666666666666667</v>
      </c>
      <c r="M4" s="109">
        <f>M7/Справочник!$B$9</f>
        <v>1</v>
      </c>
      <c r="N4" s="109">
        <f>N7/Справочник!$B$9</f>
        <v>1</v>
      </c>
      <c r="O4" s="109">
        <f>O7/Справочник!$B$9</f>
        <v>1</v>
      </c>
      <c r="P4" s="109">
        <f>P7/Справочник!$B$9</f>
        <v>1</v>
      </c>
      <c r="Q4" s="109">
        <f>Q7/Справочник!$B$9</f>
        <v>1</v>
      </c>
      <c r="R4" s="109">
        <f>R7/Справочник!$B$9</f>
        <v>1</v>
      </c>
      <c r="S4" s="109">
        <f>S7/Справочник!$B$9</f>
        <v>1</v>
      </c>
      <c r="T4" s="109">
        <f>T7/Справочник!$B$9</f>
        <v>1</v>
      </c>
      <c r="U4" s="109">
        <f>U7/Справочник!$B$9</f>
        <v>1</v>
      </c>
      <c r="V4" s="109">
        <f>V7/Справочник!$B$9</f>
        <v>1</v>
      </c>
      <c r="W4" s="109">
        <f>W7/Справочник!$B$9</f>
        <v>1</v>
      </c>
      <c r="X4" s="109">
        <f>X7/Справочник!$B$9</f>
        <v>1</v>
      </c>
      <c r="Y4" s="109">
        <f>Y7/Справочник!$B$9</f>
        <v>1</v>
      </c>
      <c r="Z4" s="109">
        <f>Z7/Справочник!$B$9</f>
        <v>1</v>
      </c>
      <c r="AA4" s="109">
        <f>AA7/Справочник!$B$9</f>
        <v>1</v>
      </c>
      <c r="AB4" s="109">
        <f>AB7/Справочник!$B$9</f>
        <v>1</v>
      </c>
      <c r="AC4" s="109">
        <f>AC7/Справочник!$B$9</f>
        <v>1</v>
      </c>
      <c r="AD4" s="109">
        <f>AD7/Справочник!$B$9</f>
        <v>1</v>
      </c>
      <c r="AE4" s="109">
        <f>AE7/Справочник!$B$9</f>
        <v>1</v>
      </c>
      <c r="AF4" s="109">
        <f>AF7/Справочник!$B$9</f>
        <v>1</v>
      </c>
      <c r="AG4" s="109">
        <f>AG7/Справочник!$B$9</f>
        <v>1</v>
      </c>
      <c r="AH4" s="109">
        <f>AH7/Справочник!$B$9</f>
        <v>1</v>
      </c>
      <c r="AI4" s="109">
        <f>AI7/Справочник!$B$9</f>
        <v>1</v>
      </c>
      <c r="AJ4" s="109">
        <f>AJ7/Справочник!$B$9</f>
        <v>1</v>
      </c>
      <c r="AK4" s="109">
        <f>AK7/Справочник!$B$9</f>
        <v>1</v>
      </c>
      <c r="AL4" s="109">
        <f>AL7/Справочник!$B$9</f>
        <v>1</v>
      </c>
      <c r="AM4" s="109">
        <f>AM7/Справочник!$B$9</f>
        <v>1</v>
      </c>
      <c r="AN4" s="109">
        <f>AN7/Справочник!$B$9</f>
        <v>1</v>
      </c>
      <c r="AO4" s="109">
        <f>AO7/Справочник!$B$9</f>
        <v>1</v>
      </c>
      <c r="AP4" s="109">
        <f>AP7/Справочник!$B$9</f>
        <v>1</v>
      </c>
      <c r="AQ4" s="109">
        <f>AQ7/Справочник!$B$9</f>
        <v>1</v>
      </c>
      <c r="AR4" s="109">
        <f>AR7/Справочник!$B$9</f>
        <v>1</v>
      </c>
      <c r="AS4" s="109">
        <f>AS7/Справочник!$B$9</f>
        <v>1</v>
      </c>
      <c r="AT4" s="109">
        <f>AT7/Справочник!$B$9</f>
        <v>1</v>
      </c>
      <c r="AU4" s="109">
        <f>AU7/Справочник!$B$9</f>
        <v>1</v>
      </c>
      <c r="AV4" s="109">
        <f>AV7/Справочник!$B$9</f>
        <v>1</v>
      </c>
      <c r="AW4" s="109">
        <f>AW7/Справочник!$B$9</f>
        <v>1</v>
      </c>
      <c r="AX4" s="109">
        <f>AX7/Справочник!$B$9</f>
        <v>1</v>
      </c>
      <c r="AY4" s="109">
        <f>AY7/Справочник!$B$9</f>
        <v>1</v>
      </c>
      <c r="AZ4" s="109">
        <f>AZ7/Справочник!$B$9</f>
        <v>1</v>
      </c>
      <c r="BA4" s="109">
        <f>BA7/Справочник!$B$9</f>
        <v>1</v>
      </c>
      <c r="BB4" s="109">
        <f>BB7/Справочник!$B$9</f>
        <v>1</v>
      </c>
      <c r="BC4" s="109">
        <f>BC7/Справочник!$B$9</f>
        <v>1</v>
      </c>
      <c r="BD4" s="109">
        <f>BD7/Справочник!$B$9</f>
        <v>1</v>
      </c>
      <c r="BE4" s="109">
        <f>BE7/Справочник!$B$9</f>
        <v>1</v>
      </c>
      <c r="BF4" s="109">
        <f>BF7/Справочник!$B$9</f>
        <v>1</v>
      </c>
      <c r="BG4" s="109">
        <f>BG7/Справочник!$B$9</f>
        <v>1</v>
      </c>
      <c r="BH4" s="109">
        <f>BH7/Справочник!$B$9</f>
        <v>1</v>
      </c>
      <c r="BI4" s="109">
        <f>BI7/Справочник!$B$9</f>
        <v>1</v>
      </c>
      <c r="BJ4" s="7"/>
    </row>
    <row r="5" spans="1:62" s="8" customFormat="1">
      <c r="A5" s="115" t="s">
        <v>138</v>
      </c>
      <c r="B5" s="116">
        <f>B7-ROUND(B7*0.9,0)</f>
        <v>1</v>
      </c>
      <c r="C5" s="116">
        <f t="shared" ref="C5:AJ6" si="0">C7-ROUND(C7*0.9,0)</f>
        <v>2</v>
      </c>
      <c r="D5" s="116">
        <f t="shared" si="0"/>
        <v>2</v>
      </c>
      <c r="E5" s="116">
        <f t="shared" si="0"/>
        <v>2</v>
      </c>
      <c r="F5" s="116">
        <f t="shared" si="0"/>
        <v>3</v>
      </c>
      <c r="G5" s="116">
        <f t="shared" si="0"/>
        <v>3</v>
      </c>
      <c r="H5" s="116">
        <f t="shared" si="0"/>
        <v>3</v>
      </c>
      <c r="I5" s="116">
        <f t="shared" si="0"/>
        <v>3</v>
      </c>
      <c r="J5" s="116">
        <f t="shared" si="0"/>
        <v>4</v>
      </c>
      <c r="K5" s="116">
        <f t="shared" si="0"/>
        <v>4</v>
      </c>
      <c r="L5" s="116">
        <f t="shared" si="0"/>
        <v>4</v>
      </c>
      <c r="M5" s="116">
        <f t="shared" si="0"/>
        <v>6</v>
      </c>
      <c r="N5" s="116">
        <f t="shared" si="0"/>
        <v>6</v>
      </c>
      <c r="O5" s="116">
        <f t="shared" si="0"/>
        <v>6</v>
      </c>
      <c r="P5" s="116">
        <f t="shared" si="0"/>
        <v>6</v>
      </c>
      <c r="Q5" s="116">
        <f t="shared" si="0"/>
        <v>6</v>
      </c>
      <c r="R5" s="116">
        <f t="shared" si="0"/>
        <v>6</v>
      </c>
      <c r="S5" s="116">
        <f t="shared" si="0"/>
        <v>6</v>
      </c>
      <c r="T5" s="116">
        <f t="shared" si="0"/>
        <v>6</v>
      </c>
      <c r="U5" s="116">
        <f t="shared" si="0"/>
        <v>6</v>
      </c>
      <c r="V5" s="116">
        <f t="shared" si="0"/>
        <v>6</v>
      </c>
      <c r="W5" s="116">
        <f t="shared" si="0"/>
        <v>6</v>
      </c>
      <c r="X5" s="116">
        <f t="shared" si="0"/>
        <v>6</v>
      </c>
      <c r="Y5" s="116">
        <f t="shared" si="0"/>
        <v>6</v>
      </c>
      <c r="Z5" s="116">
        <f t="shared" si="0"/>
        <v>6</v>
      </c>
      <c r="AA5" s="116">
        <f t="shared" si="0"/>
        <v>6</v>
      </c>
      <c r="AB5" s="116">
        <f t="shared" si="0"/>
        <v>6</v>
      </c>
      <c r="AC5" s="116">
        <f t="shared" si="0"/>
        <v>6</v>
      </c>
      <c r="AD5" s="116">
        <f t="shared" si="0"/>
        <v>6</v>
      </c>
      <c r="AE5" s="116">
        <f t="shared" si="0"/>
        <v>6</v>
      </c>
      <c r="AF5" s="116">
        <f t="shared" si="0"/>
        <v>6</v>
      </c>
      <c r="AG5" s="116">
        <f t="shared" si="0"/>
        <v>6</v>
      </c>
      <c r="AH5" s="116">
        <f t="shared" si="0"/>
        <v>6</v>
      </c>
      <c r="AI5" s="116">
        <f t="shared" si="0"/>
        <v>6</v>
      </c>
      <c r="AJ5" s="116">
        <f t="shared" si="0"/>
        <v>6</v>
      </c>
      <c r="AK5" s="116">
        <f t="shared" ref="AK5:BI5" si="1">AK7-ROUND(AK7*0.9,0)</f>
        <v>6</v>
      </c>
      <c r="AL5" s="116">
        <f t="shared" si="1"/>
        <v>6</v>
      </c>
      <c r="AM5" s="116">
        <f t="shared" si="1"/>
        <v>6</v>
      </c>
      <c r="AN5" s="116">
        <f t="shared" si="1"/>
        <v>6</v>
      </c>
      <c r="AO5" s="116">
        <f t="shared" si="1"/>
        <v>6</v>
      </c>
      <c r="AP5" s="116">
        <f t="shared" si="1"/>
        <v>6</v>
      </c>
      <c r="AQ5" s="116">
        <f t="shared" si="1"/>
        <v>6</v>
      </c>
      <c r="AR5" s="116">
        <f t="shared" si="1"/>
        <v>6</v>
      </c>
      <c r="AS5" s="116">
        <f t="shared" si="1"/>
        <v>6</v>
      </c>
      <c r="AT5" s="116">
        <f t="shared" si="1"/>
        <v>6</v>
      </c>
      <c r="AU5" s="116">
        <f t="shared" si="1"/>
        <v>6</v>
      </c>
      <c r="AV5" s="116">
        <f t="shared" si="1"/>
        <v>6</v>
      </c>
      <c r="AW5" s="116">
        <f t="shared" si="1"/>
        <v>6</v>
      </c>
      <c r="AX5" s="116">
        <f t="shared" si="1"/>
        <v>6</v>
      </c>
      <c r="AY5" s="116">
        <f t="shared" si="1"/>
        <v>6</v>
      </c>
      <c r="AZ5" s="116">
        <f t="shared" si="1"/>
        <v>6</v>
      </c>
      <c r="BA5" s="116">
        <f t="shared" si="1"/>
        <v>6</v>
      </c>
      <c r="BB5" s="116">
        <f t="shared" si="1"/>
        <v>6</v>
      </c>
      <c r="BC5" s="116">
        <f t="shared" si="1"/>
        <v>6</v>
      </c>
      <c r="BD5" s="116">
        <f t="shared" si="1"/>
        <v>6</v>
      </c>
      <c r="BE5" s="116">
        <f t="shared" si="1"/>
        <v>6</v>
      </c>
      <c r="BF5" s="116">
        <f t="shared" si="1"/>
        <v>6</v>
      </c>
      <c r="BG5" s="116">
        <f t="shared" si="1"/>
        <v>6</v>
      </c>
      <c r="BH5" s="116">
        <f t="shared" si="1"/>
        <v>6</v>
      </c>
      <c r="BI5" s="116">
        <f t="shared" si="1"/>
        <v>6</v>
      </c>
      <c r="BJ5" s="7"/>
    </row>
    <row r="6" spans="1:62" s="8" customFormat="1">
      <c r="A6" s="29" t="s">
        <v>57</v>
      </c>
      <c r="B6" s="10">
        <v>15</v>
      </c>
      <c r="C6" s="10">
        <v>3</v>
      </c>
      <c r="D6" s="10">
        <v>3</v>
      </c>
      <c r="E6" s="10">
        <v>3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3</v>
      </c>
      <c r="L6" s="10">
        <v>3</v>
      </c>
      <c r="M6" s="10">
        <v>2</v>
      </c>
      <c r="N6" s="10">
        <v>3</v>
      </c>
      <c r="O6" s="10">
        <v>3</v>
      </c>
      <c r="P6" s="10">
        <v>3</v>
      </c>
      <c r="Q6" s="10">
        <v>4</v>
      </c>
      <c r="R6" s="10">
        <v>2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10">
        <v>1</v>
      </c>
      <c r="BB6" s="10">
        <v>1</v>
      </c>
      <c r="BC6" s="10">
        <v>1</v>
      </c>
      <c r="BD6" s="10">
        <v>1</v>
      </c>
      <c r="BE6" s="10">
        <v>1</v>
      </c>
      <c r="BF6" s="10">
        <v>1</v>
      </c>
      <c r="BG6" s="10">
        <v>1</v>
      </c>
      <c r="BH6" s="10">
        <v>1</v>
      </c>
      <c r="BI6" s="10">
        <v>1</v>
      </c>
      <c r="BJ6" s="7"/>
    </row>
    <row r="7" spans="1:62" s="8" customFormat="1" ht="15" thickBot="1">
      <c r="A7" s="117" t="s">
        <v>137</v>
      </c>
      <c r="B7" s="33">
        <v>15</v>
      </c>
      <c r="C7" s="33">
        <v>18</v>
      </c>
      <c r="D7" s="33">
        <v>21</v>
      </c>
      <c r="E7" s="33">
        <v>24</v>
      </c>
      <c r="F7" s="33">
        <v>27</v>
      </c>
      <c r="G7" s="33">
        <v>29</v>
      </c>
      <c r="H7" s="33">
        <v>32</v>
      </c>
      <c r="I7" s="33">
        <v>35</v>
      </c>
      <c r="J7" s="33">
        <v>37</v>
      </c>
      <c r="K7" s="33">
        <v>40</v>
      </c>
      <c r="L7" s="33">
        <v>43</v>
      </c>
      <c r="M7" s="33">
        <v>60</v>
      </c>
      <c r="N7" s="33">
        <v>60</v>
      </c>
      <c r="O7" s="33">
        <v>60</v>
      </c>
      <c r="P7" s="33">
        <v>60</v>
      </c>
      <c r="Q7" s="33">
        <v>60</v>
      </c>
      <c r="R7" s="33">
        <v>60</v>
      </c>
      <c r="S7" s="33">
        <v>60</v>
      </c>
      <c r="T7" s="33">
        <v>60</v>
      </c>
      <c r="U7" s="33">
        <v>60</v>
      </c>
      <c r="V7" s="33">
        <v>60</v>
      </c>
      <c r="W7" s="33">
        <v>60</v>
      </c>
      <c r="X7" s="33">
        <v>60</v>
      </c>
      <c r="Y7" s="33">
        <v>60</v>
      </c>
      <c r="Z7" s="33">
        <v>60</v>
      </c>
      <c r="AA7" s="33">
        <v>60</v>
      </c>
      <c r="AB7" s="33">
        <v>60</v>
      </c>
      <c r="AC7" s="33">
        <v>60</v>
      </c>
      <c r="AD7" s="33">
        <v>60</v>
      </c>
      <c r="AE7" s="33">
        <v>60</v>
      </c>
      <c r="AF7" s="33">
        <v>60</v>
      </c>
      <c r="AG7" s="33">
        <v>60</v>
      </c>
      <c r="AH7" s="33">
        <v>60</v>
      </c>
      <c r="AI7" s="33">
        <v>60</v>
      </c>
      <c r="AJ7" s="33">
        <v>60</v>
      </c>
      <c r="AK7" s="33">
        <v>60</v>
      </c>
      <c r="AL7" s="33">
        <v>60</v>
      </c>
      <c r="AM7" s="33">
        <v>60</v>
      </c>
      <c r="AN7" s="33">
        <v>60</v>
      </c>
      <c r="AO7" s="33">
        <v>60</v>
      </c>
      <c r="AP7" s="33">
        <v>60</v>
      </c>
      <c r="AQ7" s="33">
        <v>60</v>
      </c>
      <c r="AR7" s="33">
        <v>60</v>
      </c>
      <c r="AS7" s="33">
        <v>60</v>
      </c>
      <c r="AT7" s="33">
        <v>60</v>
      </c>
      <c r="AU7" s="33">
        <v>60</v>
      </c>
      <c r="AV7" s="33">
        <v>60</v>
      </c>
      <c r="AW7" s="33">
        <v>60</v>
      </c>
      <c r="AX7" s="33">
        <v>60</v>
      </c>
      <c r="AY7" s="33">
        <v>60</v>
      </c>
      <c r="AZ7" s="33">
        <v>60</v>
      </c>
      <c r="BA7" s="33">
        <v>60</v>
      </c>
      <c r="BB7" s="33">
        <v>60</v>
      </c>
      <c r="BC7" s="33">
        <v>60</v>
      </c>
      <c r="BD7" s="33">
        <v>60</v>
      </c>
      <c r="BE7" s="33">
        <v>60</v>
      </c>
      <c r="BF7" s="33">
        <v>60</v>
      </c>
      <c r="BG7" s="33">
        <v>60</v>
      </c>
      <c r="BH7" s="33">
        <v>60</v>
      </c>
      <c r="BI7" s="33">
        <v>60</v>
      </c>
      <c r="BJ7" s="7"/>
    </row>
    <row r="8" spans="1:62" ht="15" thickBot="1">
      <c r="A8" s="120" t="s">
        <v>109</v>
      </c>
      <c r="B8" s="34">
        <f>SUM(B9:B12)</f>
        <v>7512760</v>
      </c>
      <c r="C8" s="34">
        <f>SUM(C9:C12)</f>
        <v>5409312</v>
      </c>
      <c r="D8" s="34">
        <f t="shared" ref="D8:AJ8" si="2">SUM(D9:D12)</f>
        <v>6125864.0000000009</v>
      </c>
      <c r="E8" s="34">
        <f t="shared" si="2"/>
        <v>6842416</v>
      </c>
      <c r="F8" s="34">
        <f t="shared" si="2"/>
        <v>7738968</v>
      </c>
      <c r="G8" s="34">
        <f t="shared" si="2"/>
        <v>7966669.333333333</v>
      </c>
      <c r="H8" s="34">
        <f t="shared" si="2"/>
        <v>8933221.333333334</v>
      </c>
      <c r="I8" s="34">
        <f t="shared" si="2"/>
        <v>9649773.333333334</v>
      </c>
      <c r="J8" s="34">
        <f t="shared" si="2"/>
        <v>10057474.666666666</v>
      </c>
      <c r="K8" s="34">
        <f t="shared" si="2"/>
        <v>11024026.666666666</v>
      </c>
      <c r="L8" s="34">
        <f t="shared" si="2"/>
        <v>11740578.666666666</v>
      </c>
      <c r="M8" s="34">
        <f t="shared" si="2"/>
        <v>15911040</v>
      </c>
      <c r="N8" s="34">
        <f t="shared" si="2"/>
        <v>16161040</v>
      </c>
      <c r="O8" s="34">
        <f t="shared" si="2"/>
        <v>16161040</v>
      </c>
      <c r="P8" s="34">
        <f t="shared" si="2"/>
        <v>16161040</v>
      </c>
      <c r="Q8" s="34">
        <f t="shared" si="2"/>
        <v>16411040</v>
      </c>
      <c r="R8" s="34">
        <f t="shared" si="2"/>
        <v>15911040</v>
      </c>
      <c r="S8" s="34">
        <f t="shared" si="2"/>
        <v>15661040</v>
      </c>
      <c r="T8" s="34">
        <f t="shared" si="2"/>
        <v>15661040</v>
      </c>
      <c r="U8" s="34">
        <f t="shared" si="2"/>
        <v>15661040</v>
      </c>
      <c r="V8" s="34">
        <f t="shared" si="2"/>
        <v>15661040</v>
      </c>
      <c r="W8" s="34">
        <f t="shared" si="2"/>
        <v>15661040</v>
      </c>
      <c r="X8" s="34">
        <f t="shared" si="2"/>
        <v>15661040</v>
      </c>
      <c r="Y8" s="34">
        <f t="shared" si="2"/>
        <v>15661040</v>
      </c>
      <c r="Z8" s="34">
        <f t="shared" si="2"/>
        <v>15661040</v>
      </c>
      <c r="AA8" s="34">
        <f t="shared" si="2"/>
        <v>15661040</v>
      </c>
      <c r="AB8" s="34">
        <f t="shared" si="2"/>
        <v>15661040</v>
      </c>
      <c r="AC8" s="34">
        <f t="shared" si="2"/>
        <v>15661040</v>
      </c>
      <c r="AD8" s="34">
        <f t="shared" si="2"/>
        <v>15661040</v>
      </c>
      <c r="AE8" s="34">
        <f t="shared" si="2"/>
        <v>15661040</v>
      </c>
      <c r="AF8" s="34">
        <f t="shared" si="2"/>
        <v>15661040</v>
      </c>
      <c r="AG8" s="34">
        <f t="shared" si="2"/>
        <v>15661040</v>
      </c>
      <c r="AH8" s="34">
        <f t="shared" si="2"/>
        <v>15661040</v>
      </c>
      <c r="AI8" s="34">
        <f t="shared" si="2"/>
        <v>15661040</v>
      </c>
      <c r="AJ8" s="34">
        <f t="shared" si="2"/>
        <v>15661040</v>
      </c>
      <c r="AK8" s="34">
        <f t="shared" ref="AK8:BI8" si="3">SUM(AK9:AK12)</f>
        <v>15661040</v>
      </c>
      <c r="AL8" s="34">
        <f t="shared" si="3"/>
        <v>15661040</v>
      </c>
      <c r="AM8" s="34">
        <f t="shared" si="3"/>
        <v>15661040</v>
      </c>
      <c r="AN8" s="34">
        <f t="shared" si="3"/>
        <v>15661040</v>
      </c>
      <c r="AO8" s="34">
        <f t="shared" si="3"/>
        <v>15661040</v>
      </c>
      <c r="AP8" s="34">
        <f t="shared" si="3"/>
        <v>15661040</v>
      </c>
      <c r="AQ8" s="34">
        <f t="shared" si="3"/>
        <v>15661040</v>
      </c>
      <c r="AR8" s="34">
        <f t="shared" si="3"/>
        <v>15661040</v>
      </c>
      <c r="AS8" s="34">
        <f t="shared" si="3"/>
        <v>15661040</v>
      </c>
      <c r="AT8" s="34">
        <f t="shared" si="3"/>
        <v>15661040</v>
      </c>
      <c r="AU8" s="34">
        <f t="shared" si="3"/>
        <v>15661040</v>
      </c>
      <c r="AV8" s="34">
        <f t="shared" si="3"/>
        <v>15661040</v>
      </c>
      <c r="AW8" s="34">
        <f t="shared" si="3"/>
        <v>15661040</v>
      </c>
      <c r="AX8" s="34">
        <f t="shared" si="3"/>
        <v>15661040</v>
      </c>
      <c r="AY8" s="34">
        <f t="shared" si="3"/>
        <v>15661040</v>
      </c>
      <c r="AZ8" s="34">
        <f t="shared" si="3"/>
        <v>15661040</v>
      </c>
      <c r="BA8" s="34">
        <f t="shared" si="3"/>
        <v>15661040</v>
      </c>
      <c r="BB8" s="34">
        <f t="shared" si="3"/>
        <v>15661040</v>
      </c>
      <c r="BC8" s="34">
        <f t="shared" si="3"/>
        <v>15661040</v>
      </c>
      <c r="BD8" s="34">
        <f t="shared" si="3"/>
        <v>15661040</v>
      </c>
      <c r="BE8" s="34">
        <f t="shared" si="3"/>
        <v>15661040</v>
      </c>
      <c r="BF8" s="34">
        <f t="shared" si="3"/>
        <v>15661040</v>
      </c>
      <c r="BG8" s="34">
        <f t="shared" si="3"/>
        <v>15661040</v>
      </c>
      <c r="BH8" s="34">
        <f t="shared" si="3"/>
        <v>15661040</v>
      </c>
      <c r="BI8" s="34">
        <f t="shared" si="3"/>
        <v>15661040</v>
      </c>
    </row>
    <row r="9" spans="1:62">
      <c r="A9" s="40" t="s">
        <v>58</v>
      </c>
      <c r="B9" s="41">
        <f>(B7*0.9)*Справочник!$B$7</f>
        <v>3375000</v>
      </c>
      <c r="C9" s="41">
        <f>(C7*0.9)*Справочник!$B$7</f>
        <v>4050000</v>
      </c>
      <c r="D9" s="41">
        <f>(D7*0.9)*Справочник!$B$7</f>
        <v>4725000.0000000009</v>
      </c>
      <c r="E9" s="41">
        <f>(E7*0.9)*Справочник!$B$7</f>
        <v>5400000</v>
      </c>
      <c r="F9" s="41">
        <f>(F7*0.9)*Справочник!$B$7</f>
        <v>6075000</v>
      </c>
      <c r="G9" s="41">
        <f>(G7*0.9)*Справочник!$B$7</f>
        <v>6525000</v>
      </c>
      <c r="H9" s="41">
        <f>(H7*0.9)*Справочник!$B$7</f>
        <v>7200000</v>
      </c>
      <c r="I9" s="41">
        <f>(I7*0.9)*Справочник!$B$7</f>
        <v>7875000</v>
      </c>
      <c r="J9" s="41">
        <f>(J7*0.9)*Справочник!$B$7</f>
        <v>8325000.0000000009</v>
      </c>
      <c r="K9" s="41">
        <f>(K7*0.9)*Справочник!$B$7</f>
        <v>9000000</v>
      </c>
      <c r="L9" s="41">
        <f>(L7*0.9)*Справочник!$B$7</f>
        <v>9675000</v>
      </c>
      <c r="M9" s="41">
        <f>(M7*0.9)*Справочник!$B$7</f>
        <v>13500000</v>
      </c>
      <c r="N9" s="41">
        <f>(N7*0.9)*Справочник!$B$7</f>
        <v>13500000</v>
      </c>
      <c r="O9" s="41">
        <f>(O7*0.9)*Справочник!$B$7</f>
        <v>13500000</v>
      </c>
      <c r="P9" s="41">
        <f>(P7*0.9)*Справочник!$B$7</f>
        <v>13500000</v>
      </c>
      <c r="Q9" s="41">
        <f>(Q7*0.9)*Справочник!$B$7</f>
        <v>13500000</v>
      </c>
      <c r="R9" s="41">
        <f>(R7*0.9)*Справочник!$B$7</f>
        <v>13500000</v>
      </c>
      <c r="S9" s="41">
        <f>(S7*0.9)*Справочник!$B$7</f>
        <v>13500000</v>
      </c>
      <c r="T9" s="41">
        <f>(T7*0.9)*Справочник!$B$7</f>
        <v>13500000</v>
      </c>
      <c r="U9" s="41">
        <f>(U7*0.9)*Справочник!$B$7</f>
        <v>13500000</v>
      </c>
      <c r="V9" s="41">
        <f>(V7*0.9)*Справочник!$B$7</f>
        <v>13500000</v>
      </c>
      <c r="W9" s="41">
        <f>(W7*0.9)*Справочник!$B$7</f>
        <v>13500000</v>
      </c>
      <c r="X9" s="41">
        <f>(X7*0.9)*Справочник!$B$7</f>
        <v>13500000</v>
      </c>
      <c r="Y9" s="41">
        <f>(Y7*0.9)*Справочник!$B$7</f>
        <v>13500000</v>
      </c>
      <c r="Z9" s="41">
        <f>(Z7*0.9)*Справочник!$B$7</f>
        <v>13500000</v>
      </c>
      <c r="AA9" s="41">
        <f>(AA7*0.9)*Справочник!$B$7</f>
        <v>13500000</v>
      </c>
      <c r="AB9" s="41">
        <f>(AB7*0.9)*Справочник!$B$7</f>
        <v>13500000</v>
      </c>
      <c r="AC9" s="41">
        <f>(AC7*0.9)*Справочник!$B$7</f>
        <v>13500000</v>
      </c>
      <c r="AD9" s="41">
        <f>(AD7*0.9)*Справочник!$B$7</f>
        <v>13500000</v>
      </c>
      <c r="AE9" s="41">
        <f>(AE7*0.9)*Справочник!$B$7</f>
        <v>13500000</v>
      </c>
      <c r="AF9" s="41">
        <f>(AF7*0.9)*Справочник!$B$7</f>
        <v>13500000</v>
      </c>
      <c r="AG9" s="41">
        <f>(AG7*0.9)*Справочник!$B$7</f>
        <v>13500000</v>
      </c>
      <c r="AH9" s="41">
        <f>(AH7*0.9)*Справочник!$B$7</f>
        <v>13500000</v>
      </c>
      <c r="AI9" s="41">
        <f>(AI7*0.9)*Справочник!$B$7</f>
        <v>13500000</v>
      </c>
      <c r="AJ9" s="41">
        <f>(AJ7*0.9)*Справочник!$B$7</f>
        <v>13500000</v>
      </c>
      <c r="AK9" s="41">
        <f>(AK7*0.9)*Справочник!$B$7</f>
        <v>13500000</v>
      </c>
      <c r="AL9" s="41">
        <f>(AL7*0.9)*Справочник!$B$7</f>
        <v>13500000</v>
      </c>
      <c r="AM9" s="41">
        <f>(AM7*0.9)*Справочник!$B$7</f>
        <v>13500000</v>
      </c>
      <c r="AN9" s="41">
        <f>(AN7*0.9)*Справочник!$B$7</f>
        <v>13500000</v>
      </c>
      <c r="AO9" s="41">
        <f>(AO7*0.9)*Справочник!$B$7</f>
        <v>13500000</v>
      </c>
      <c r="AP9" s="41">
        <f>(AP7*0.9)*Справочник!$B$7</f>
        <v>13500000</v>
      </c>
      <c r="AQ9" s="41">
        <f>(AQ7*0.9)*Справочник!$B$7</f>
        <v>13500000</v>
      </c>
      <c r="AR9" s="41">
        <f>(AR7*0.9)*Справочник!$B$7</f>
        <v>13500000</v>
      </c>
      <c r="AS9" s="41">
        <f>(AS7*0.9)*Справочник!$B$7</f>
        <v>13500000</v>
      </c>
      <c r="AT9" s="41">
        <f>(AT7*0.9)*Справочник!$B$7</f>
        <v>13500000</v>
      </c>
      <c r="AU9" s="41">
        <f>(AU7*0.9)*Справочник!$B$7</f>
        <v>13500000</v>
      </c>
      <c r="AV9" s="41">
        <f>(AV7*0.9)*Справочник!$B$7</f>
        <v>13500000</v>
      </c>
      <c r="AW9" s="41">
        <f>(AW7*0.9)*Справочник!$B$7</f>
        <v>13500000</v>
      </c>
      <c r="AX9" s="41">
        <f>(AX7*0.9)*Справочник!$B$7</f>
        <v>13500000</v>
      </c>
      <c r="AY9" s="41">
        <f>(AY7*0.9)*Справочник!$B$7</f>
        <v>13500000</v>
      </c>
      <c r="AZ9" s="41">
        <f>(AZ7*0.9)*Справочник!$B$7</f>
        <v>13500000</v>
      </c>
      <c r="BA9" s="41">
        <f>(BA7*0.9)*Справочник!$B$7</f>
        <v>13500000</v>
      </c>
      <c r="BB9" s="41">
        <f>(BB7*0.9)*Справочник!$B$7</f>
        <v>13500000</v>
      </c>
      <c r="BC9" s="41">
        <f>(BC7*0.9)*Справочник!$B$7</f>
        <v>13500000</v>
      </c>
      <c r="BD9" s="41">
        <f>(BD7*0.9)*Справочник!$B$7</f>
        <v>13500000</v>
      </c>
      <c r="BE9" s="41">
        <f>(BE7*0.9)*Справочник!$B$7</f>
        <v>13500000</v>
      </c>
      <c r="BF9" s="41">
        <f>(BF7*0.9)*Справочник!$B$7</f>
        <v>13500000</v>
      </c>
      <c r="BG9" s="41">
        <f>(BG7*0.9)*Справочник!$B$7</f>
        <v>13500000</v>
      </c>
      <c r="BH9" s="41">
        <f>(BH7*0.9)*Справочник!$B$7</f>
        <v>13500000</v>
      </c>
      <c r="BI9" s="41">
        <f>(BI7*0.9)*Справочник!$B$7</f>
        <v>13500000</v>
      </c>
    </row>
    <row r="10" spans="1:62">
      <c r="A10" s="30" t="s">
        <v>59</v>
      </c>
      <c r="B10" s="121">
        <f>Справочник!$B$8*B5</f>
        <v>180000</v>
      </c>
      <c r="C10" s="121">
        <f>Справочник!$B$8*C5</f>
        <v>360000</v>
      </c>
      <c r="D10" s="121">
        <f>Справочник!$B$8*D5</f>
        <v>360000</v>
      </c>
      <c r="E10" s="121">
        <f>Справочник!$B$8*E5</f>
        <v>360000</v>
      </c>
      <c r="F10" s="121">
        <f>Справочник!$B$8*F5</f>
        <v>540000</v>
      </c>
      <c r="G10" s="121">
        <f>Справочник!$B$8*G5</f>
        <v>540000</v>
      </c>
      <c r="H10" s="121">
        <f>Справочник!$B$8*H5</f>
        <v>540000</v>
      </c>
      <c r="I10" s="121">
        <f>Справочник!$B$8*I5</f>
        <v>540000</v>
      </c>
      <c r="J10" s="121">
        <f>Справочник!$B$8*J5</f>
        <v>720000</v>
      </c>
      <c r="K10" s="121">
        <f>Справочник!$B$8*K5</f>
        <v>720000</v>
      </c>
      <c r="L10" s="121">
        <f>Справочник!$B$8*L5</f>
        <v>720000</v>
      </c>
      <c r="M10" s="121">
        <f>Справочник!$B$8*M5</f>
        <v>1080000</v>
      </c>
      <c r="N10" s="121">
        <f>Справочник!$B$8*N5</f>
        <v>1080000</v>
      </c>
      <c r="O10" s="121">
        <f>Справочник!$B$8*O5</f>
        <v>1080000</v>
      </c>
      <c r="P10" s="121">
        <f>Справочник!$B$8*P5</f>
        <v>1080000</v>
      </c>
      <c r="Q10" s="121">
        <f>Справочник!$B$8*Q5</f>
        <v>1080000</v>
      </c>
      <c r="R10" s="121">
        <f>Справочник!$B$8*R5</f>
        <v>1080000</v>
      </c>
      <c r="S10" s="121">
        <f>Справочник!$B$8*S5</f>
        <v>1080000</v>
      </c>
      <c r="T10" s="121">
        <f>Справочник!$B$8*T5</f>
        <v>1080000</v>
      </c>
      <c r="U10" s="121">
        <f>Справочник!$B$8*U5</f>
        <v>1080000</v>
      </c>
      <c r="V10" s="121">
        <f>Справочник!$B$8*V5</f>
        <v>1080000</v>
      </c>
      <c r="W10" s="121">
        <f>Справочник!$B$8*W5</f>
        <v>1080000</v>
      </c>
      <c r="X10" s="121">
        <f>Справочник!$B$8*X5</f>
        <v>1080000</v>
      </c>
      <c r="Y10" s="121">
        <f>Справочник!$B$8*Y5</f>
        <v>1080000</v>
      </c>
      <c r="Z10" s="121">
        <f>Справочник!$B$8*Z5</f>
        <v>1080000</v>
      </c>
      <c r="AA10" s="121">
        <f>Справочник!$B$8*AA5</f>
        <v>1080000</v>
      </c>
      <c r="AB10" s="121">
        <f>Справочник!$B$8*AB5</f>
        <v>1080000</v>
      </c>
      <c r="AC10" s="121">
        <f>Справочник!$B$8*AC5</f>
        <v>1080000</v>
      </c>
      <c r="AD10" s="121">
        <f>Справочник!$B$8*AD5</f>
        <v>1080000</v>
      </c>
      <c r="AE10" s="121">
        <f>Справочник!$B$8*AE5</f>
        <v>1080000</v>
      </c>
      <c r="AF10" s="121">
        <f>Справочник!$B$8*AF5</f>
        <v>1080000</v>
      </c>
      <c r="AG10" s="121">
        <f>Справочник!$B$8*AG5</f>
        <v>1080000</v>
      </c>
      <c r="AH10" s="121">
        <f>Справочник!$B$8*AH5</f>
        <v>1080000</v>
      </c>
      <c r="AI10" s="121">
        <f>Справочник!$B$8*AI5</f>
        <v>1080000</v>
      </c>
      <c r="AJ10" s="121">
        <f>Справочник!$B$8*AJ5</f>
        <v>1080000</v>
      </c>
      <c r="AK10" s="121">
        <f>Справочник!$B$8*AK5</f>
        <v>1080000</v>
      </c>
      <c r="AL10" s="121">
        <f>Справочник!$B$8*AL5</f>
        <v>1080000</v>
      </c>
      <c r="AM10" s="121">
        <f>Справочник!$B$8*AM5</f>
        <v>1080000</v>
      </c>
      <c r="AN10" s="121">
        <f>Справочник!$B$8*AN5</f>
        <v>1080000</v>
      </c>
      <c r="AO10" s="121">
        <f>Справочник!$B$8*AO5</f>
        <v>1080000</v>
      </c>
      <c r="AP10" s="121">
        <f>Справочник!$B$8*AP5</f>
        <v>1080000</v>
      </c>
      <c r="AQ10" s="121">
        <f>Справочник!$B$8*AQ5</f>
        <v>1080000</v>
      </c>
      <c r="AR10" s="121">
        <f>Справочник!$B$8*AR5</f>
        <v>1080000</v>
      </c>
      <c r="AS10" s="121">
        <f>Справочник!$B$8*AS5</f>
        <v>1080000</v>
      </c>
      <c r="AT10" s="121">
        <f>Справочник!$B$8*AT5</f>
        <v>1080000</v>
      </c>
      <c r="AU10" s="121">
        <f>Справочник!$B$8*AU5</f>
        <v>1080000</v>
      </c>
      <c r="AV10" s="121">
        <f>Справочник!$B$8*AV5</f>
        <v>1080000</v>
      </c>
      <c r="AW10" s="121">
        <f>Справочник!$B$8*AW5</f>
        <v>1080000</v>
      </c>
      <c r="AX10" s="121">
        <f>Справочник!$B$8*AX5</f>
        <v>1080000</v>
      </c>
      <c r="AY10" s="121">
        <f>Справочник!$B$8*AY5</f>
        <v>1080000</v>
      </c>
      <c r="AZ10" s="121">
        <f>Справочник!$B$8*AZ5</f>
        <v>1080000</v>
      </c>
      <c r="BA10" s="121">
        <f>Справочник!$B$8*BA5</f>
        <v>1080000</v>
      </c>
      <c r="BB10" s="121">
        <f>Справочник!$B$8*BB5</f>
        <v>1080000</v>
      </c>
      <c r="BC10" s="121">
        <f>Справочник!$B$8*BC5</f>
        <v>1080000</v>
      </c>
      <c r="BD10" s="121">
        <f>Справочник!$B$8*BD5</f>
        <v>1080000</v>
      </c>
      <c r="BE10" s="121">
        <f>Справочник!$B$8*BE5</f>
        <v>1080000</v>
      </c>
      <c r="BF10" s="121">
        <f>Справочник!$B$8*BF5</f>
        <v>1080000</v>
      </c>
      <c r="BG10" s="121">
        <f>Справочник!$B$8*BG5</f>
        <v>1080000</v>
      </c>
      <c r="BH10" s="121">
        <f>Справочник!$B$8*BH5</f>
        <v>1080000</v>
      </c>
      <c r="BI10" s="121">
        <f>Справочник!$B$8*BI5</f>
        <v>1080000</v>
      </c>
    </row>
    <row r="11" spans="1:62">
      <c r="A11" s="30" t="str">
        <f>CONCATENATE("Вступительные взносы (", Справочник!B10, " /реб)")</f>
        <v>Вступительные взносы (250000 /реб)</v>
      </c>
      <c r="B11" s="18">
        <f>B6*Справочник!$B$10</f>
        <v>3750000</v>
      </c>
      <c r="C11" s="18">
        <f>C6*Справочник!$B$10</f>
        <v>750000</v>
      </c>
      <c r="D11" s="18">
        <f>D6*Справочник!$B$10</f>
        <v>750000</v>
      </c>
      <c r="E11" s="18">
        <f>E6*Справочник!$B$10</f>
        <v>750000</v>
      </c>
      <c r="F11" s="18">
        <f>F6*Справочник!$B$10</f>
        <v>750000</v>
      </c>
      <c r="G11" s="18">
        <f>G6*Справочник!$B$10</f>
        <v>500000</v>
      </c>
      <c r="H11" s="18">
        <f>H6*Справочник!$B$10</f>
        <v>750000</v>
      </c>
      <c r="I11" s="18">
        <f>I6*Справочник!$B$10</f>
        <v>750000</v>
      </c>
      <c r="J11" s="18">
        <f>J6*Справочник!$B$10</f>
        <v>500000</v>
      </c>
      <c r="K11" s="18">
        <f>K6*Справочник!$B$10</f>
        <v>750000</v>
      </c>
      <c r="L11" s="18">
        <f>L6*Справочник!$B$10</f>
        <v>750000</v>
      </c>
      <c r="M11" s="18">
        <f>M6*Справочник!$B$10</f>
        <v>500000</v>
      </c>
      <c r="N11" s="18">
        <f>N6*Справочник!$B$10</f>
        <v>750000</v>
      </c>
      <c r="O11" s="18">
        <f>O6*Справочник!$B$10</f>
        <v>750000</v>
      </c>
      <c r="P11" s="18">
        <f>P6*Справочник!$B$10</f>
        <v>750000</v>
      </c>
      <c r="Q11" s="18">
        <f>Q6*Справочник!$B$10</f>
        <v>1000000</v>
      </c>
      <c r="R11" s="18">
        <f>R6*Справочник!$B$10</f>
        <v>500000</v>
      </c>
      <c r="S11" s="18">
        <f>S6*Справочник!$B$10</f>
        <v>250000</v>
      </c>
      <c r="T11" s="18">
        <f>T6*Справочник!$B$10</f>
        <v>250000</v>
      </c>
      <c r="U11" s="18">
        <f>U6*Справочник!$B$10</f>
        <v>250000</v>
      </c>
      <c r="V11" s="18">
        <f>V6*Справочник!$B$10</f>
        <v>250000</v>
      </c>
      <c r="W11" s="18">
        <f>W6*Справочник!$B$10</f>
        <v>250000</v>
      </c>
      <c r="X11" s="18">
        <f>X6*Справочник!$B$10</f>
        <v>250000</v>
      </c>
      <c r="Y11" s="18">
        <f>Y6*Справочник!$B$10</f>
        <v>250000</v>
      </c>
      <c r="Z11" s="18">
        <f>Z6*Справочник!$B$10</f>
        <v>250000</v>
      </c>
      <c r="AA11" s="18">
        <f>AA6*Справочник!$B$10</f>
        <v>250000</v>
      </c>
      <c r="AB11" s="18">
        <f>AB6*Справочник!$B$10</f>
        <v>250000</v>
      </c>
      <c r="AC11" s="18">
        <f>AC6*Справочник!$B$10</f>
        <v>250000</v>
      </c>
      <c r="AD11" s="18">
        <f>AD6*Справочник!$B$10</f>
        <v>250000</v>
      </c>
      <c r="AE11" s="18">
        <f>AE6*Справочник!$B$10</f>
        <v>250000</v>
      </c>
      <c r="AF11" s="18">
        <f>AF6*Справочник!$B$10</f>
        <v>250000</v>
      </c>
      <c r="AG11" s="18">
        <f>AG6*Справочник!$B$10</f>
        <v>250000</v>
      </c>
      <c r="AH11" s="18">
        <f>AH6*Справочник!$B$10</f>
        <v>250000</v>
      </c>
      <c r="AI11" s="18">
        <f>AI6*Справочник!$B$10</f>
        <v>250000</v>
      </c>
      <c r="AJ11" s="18">
        <f>AJ6*Справочник!$B$10</f>
        <v>250000</v>
      </c>
      <c r="AK11" s="18">
        <f>AK6*Справочник!$B$10</f>
        <v>250000</v>
      </c>
      <c r="AL11" s="18">
        <f>AL6*Справочник!$B$10</f>
        <v>250000</v>
      </c>
      <c r="AM11" s="18">
        <f>AM6*Справочник!$B$10</f>
        <v>250000</v>
      </c>
      <c r="AN11" s="18">
        <f>AN6*Справочник!$B$10</f>
        <v>250000</v>
      </c>
      <c r="AO11" s="18">
        <f>AO6*Справочник!$B$10</f>
        <v>250000</v>
      </c>
      <c r="AP11" s="18">
        <f>AP6*Справочник!$B$10</f>
        <v>250000</v>
      </c>
      <c r="AQ11" s="18">
        <f>AQ6*Справочник!$B$10</f>
        <v>250000</v>
      </c>
      <c r="AR11" s="18">
        <f>AR6*Справочник!$B$10</f>
        <v>250000</v>
      </c>
      <c r="AS11" s="18">
        <f>AS6*Справочник!$B$10</f>
        <v>250000</v>
      </c>
      <c r="AT11" s="18">
        <f>AT6*Справочник!$B$10</f>
        <v>250000</v>
      </c>
      <c r="AU11" s="18">
        <f>AU6*Справочник!$B$10</f>
        <v>250000</v>
      </c>
      <c r="AV11" s="18">
        <f>AV6*Справочник!$B$10</f>
        <v>250000</v>
      </c>
      <c r="AW11" s="18">
        <f>AW6*Справочник!$B$10</f>
        <v>250000</v>
      </c>
      <c r="AX11" s="18">
        <f>AX6*Справочник!$B$10</f>
        <v>250000</v>
      </c>
      <c r="AY11" s="18">
        <f>AY6*Справочник!$B$10</f>
        <v>250000</v>
      </c>
      <c r="AZ11" s="18">
        <f>AZ6*Справочник!$B$10</f>
        <v>250000</v>
      </c>
      <c r="BA11" s="18">
        <f>BA6*Справочник!$B$10</f>
        <v>250000</v>
      </c>
      <c r="BB11" s="18">
        <f>BB6*Справочник!$B$10</f>
        <v>250000</v>
      </c>
      <c r="BC11" s="18">
        <f>BC6*Справочник!$B$10</f>
        <v>250000</v>
      </c>
      <c r="BD11" s="18">
        <f>BD6*Справочник!$B$10</f>
        <v>250000</v>
      </c>
      <c r="BE11" s="18">
        <f>BE6*Справочник!$B$10</f>
        <v>250000</v>
      </c>
      <c r="BF11" s="18">
        <f>BF6*Справочник!$B$10</f>
        <v>250000</v>
      </c>
      <c r="BG11" s="18">
        <f>BG6*Справочник!$B$10</f>
        <v>250000</v>
      </c>
      <c r="BH11" s="18">
        <f>BH6*Справочник!$B$10</f>
        <v>250000</v>
      </c>
      <c r="BI11" s="18">
        <f>BI6*Справочник!$B$10</f>
        <v>250000</v>
      </c>
    </row>
    <row r="12" spans="1:62" s="8" customFormat="1" ht="15" thickBot="1">
      <c r="A12" s="31" t="s">
        <v>20</v>
      </c>
      <c r="B12" s="22">
        <f>Справочник!$G$17*'Детализация на 5 лет'!B4</f>
        <v>207760</v>
      </c>
      <c r="C12" s="22">
        <f>Справочник!$G$17*'Детализация на 5 лет'!C4</f>
        <v>249312</v>
      </c>
      <c r="D12" s="22">
        <f>Справочник!$G$17*'Детализация на 5 лет'!D4</f>
        <v>290864</v>
      </c>
      <c r="E12" s="22">
        <f>Справочник!$G$17*'Детализация на 5 лет'!E4</f>
        <v>332416</v>
      </c>
      <c r="F12" s="22">
        <f>Справочник!$G$17*'Детализация на 5 лет'!F4</f>
        <v>373968</v>
      </c>
      <c r="G12" s="22">
        <f>Справочник!$G$17*'Детализация на 5 лет'!G4</f>
        <v>401669.33333333331</v>
      </c>
      <c r="H12" s="22">
        <f>Справочник!$G$17*'Детализация на 5 лет'!H4</f>
        <v>443221.33333333331</v>
      </c>
      <c r="I12" s="22">
        <f>Справочник!$G$17*'Детализация на 5 лет'!I4</f>
        <v>484773.33333333337</v>
      </c>
      <c r="J12" s="22">
        <f>Справочник!$G$17*'Детализация на 5 лет'!J4</f>
        <v>512474.66666666669</v>
      </c>
      <c r="K12" s="22">
        <f>Справочник!$G$17*'Детализация на 5 лет'!K4</f>
        <v>554026.66666666663</v>
      </c>
      <c r="L12" s="22">
        <f>Справочник!$G$17*'Детализация на 5 лет'!L4</f>
        <v>595578.66666666663</v>
      </c>
      <c r="M12" s="22">
        <f>Справочник!$G$17*'Детализация на 5 лет'!M4</f>
        <v>831040</v>
      </c>
      <c r="N12" s="22">
        <f>Справочник!$G$17*'Детализация на 5 лет'!N4</f>
        <v>831040</v>
      </c>
      <c r="O12" s="22">
        <f>Справочник!$G$17*'Детализация на 5 лет'!O4</f>
        <v>831040</v>
      </c>
      <c r="P12" s="22">
        <f>Справочник!$G$17*'Детализация на 5 лет'!P4</f>
        <v>831040</v>
      </c>
      <c r="Q12" s="22">
        <f>Справочник!$G$17*'Детализация на 5 лет'!Q4</f>
        <v>831040</v>
      </c>
      <c r="R12" s="22">
        <f>Справочник!$G$17*'Детализация на 5 лет'!R4</f>
        <v>831040</v>
      </c>
      <c r="S12" s="22">
        <f>Справочник!$G$17*'Детализация на 5 лет'!S4</f>
        <v>831040</v>
      </c>
      <c r="T12" s="22">
        <f>Справочник!$G$17*'Детализация на 5 лет'!T4</f>
        <v>831040</v>
      </c>
      <c r="U12" s="22">
        <f>Справочник!$G$17*'Детализация на 5 лет'!U4</f>
        <v>831040</v>
      </c>
      <c r="V12" s="22">
        <f>Справочник!$G$17*'Детализация на 5 лет'!V4</f>
        <v>831040</v>
      </c>
      <c r="W12" s="22">
        <f>Справочник!$G$17*'Детализация на 5 лет'!W4</f>
        <v>831040</v>
      </c>
      <c r="X12" s="22">
        <f>Справочник!$G$17*'Детализация на 5 лет'!X4</f>
        <v>831040</v>
      </c>
      <c r="Y12" s="22">
        <f>Справочник!$G$17*'Детализация на 5 лет'!Y4</f>
        <v>831040</v>
      </c>
      <c r="Z12" s="22">
        <f>Справочник!$G$17*'Детализация на 5 лет'!Z4</f>
        <v>831040</v>
      </c>
      <c r="AA12" s="22">
        <f>Справочник!$G$17*'Детализация на 5 лет'!AA4</f>
        <v>831040</v>
      </c>
      <c r="AB12" s="22">
        <f>Справочник!$G$17*'Детализация на 5 лет'!AB4</f>
        <v>831040</v>
      </c>
      <c r="AC12" s="22">
        <f>Справочник!$G$17*'Детализация на 5 лет'!AC4</f>
        <v>831040</v>
      </c>
      <c r="AD12" s="22">
        <f>Справочник!$G$17*'Детализация на 5 лет'!AD4</f>
        <v>831040</v>
      </c>
      <c r="AE12" s="22">
        <f>Справочник!$G$17*'Детализация на 5 лет'!AE4</f>
        <v>831040</v>
      </c>
      <c r="AF12" s="22">
        <f>Справочник!$G$17*'Детализация на 5 лет'!AF4</f>
        <v>831040</v>
      </c>
      <c r="AG12" s="22">
        <f>Справочник!$G$17*'Детализация на 5 лет'!AG4</f>
        <v>831040</v>
      </c>
      <c r="AH12" s="22">
        <f>Справочник!$G$17*'Детализация на 5 лет'!AH4</f>
        <v>831040</v>
      </c>
      <c r="AI12" s="22">
        <f>Справочник!$G$17*'Детализация на 5 лет'!AI4</f>
        <v>831040</v>
      </c>
      <c r="AJ12" s="22">
        <f>Справочник!$G$17*'Детализация на 5 лет'!AJ4</f>
        <v>831040</v>
      </c>
      <c r="AK12" s="22">
        <f>Справочник!$G$17*'Детализация на 5 лет'!AK4</f>
        <v>831040</v>
      </c>
      <c r="AL12" s="22">
        <f>Справочник!$G$17*'Детализация на 5 лет'!AL4</f>
        <v>831040</v>
      </c>
      <c r="AM12" s="22">
        <f>Справочник!$G$17*'Детализация на 5 лет'!AM4</f>
        <v>831040</v>
      </c>
      <c r="AN12" s="22">
        <f>Справочник!$G$17*'Детализация на 5 лет'!AN4</f>
        <v>831040</v>
      </c>
      <c r="AO12" s="22">
        <f>Справочник!$G$17*'Детализация на 5 лет'!AO4</f>
        <v>831040</v>
      </c>
      <c r="AP12" s="22">
        <f>Справочник!$G$17*'Детализация на 5 лет'!AP4</f>
        <v>831040</v>
      </c>
      <c r="AQ12" s="22">
        <f>Справочник!$G$17*'Детализация на 5 лет'!AQ4</f>
        <v>831040</v>
      </c>
      <c r="AR12" s="22">
        <f>Справочник!$G$17*'Детализация на 5 лет'!AR4</f>
        <v>831040</v>
      </c>
      <c r="AS12" s="22">
        <f>Справочник!$G$17*'Детализация на 5 лет'!AS4</f>
        <v>831040</v>
      </c>
      <c r="AT12" s="22">
        <f>Справочник!$G$17*'Детализация на 5 лет'!AT4</f>
        <v>831040</v>
      </c>
      <c r="AU12" s="22">
        <f>Справочник!$G$17*'Детализация на 5 лет'!AU4</f>
        <v>831040</v>
      </c>
      <c r="AV12" s="22">
        <f>Справочник!$G$17*'Детализация на 5 лет'!AV4</f>
        <v>831040</v>
      </c>
      <c r="AW12" s="22">
        <f>Справочник!$G$17*'Детализация на 5 лет'!AW4</f>
        <v>831040</v>
      </c>
      <c r="AX12" s="22">
        <f>Справочник!$G$17*'Детализация на 5 лет'!AX4</f>
        <v>831040</v>
      </c>
      <c r="AY12" s="22">
        <f>Справочник!$G$17*'Детализация на 5 лет'!AY4</f>
        <v>831040</v>
      </c>
      <c r="AZ12" s="22">
        <f>Справочник!$G$17*'Детализация на 5 лет'!AZ4</f>
        <v>831040</v>
      </c>
      <c r="BA12" s="22">
        <f>Справочник!$G$17*'Детализация на 5 лет'!BA4</f>
        <v>831040</v>
      </c>
      <c r="BB12" s="22">
        <f>Справочник!$G$17*'Детализация на 5 лет'!BB4</f>
        <v>831040</v>
      </c>
      <c r="BC12" s="22">
        <f>Справочник!$G$17*'Детализация на 5 лет'!BC4</f>
        <v>831040</v>
      </c>
      <c r="BD12" s="22">
        <f>Справочник!$G$17*'Детализация на 5 лет'!BD4</f>
        <v>831040</v>
      </c>
      <c r="BE12" s="22">
        <f>Справочник!$G$17*'Детализация на 5 лет'!BE4</f>
        <v>831040</v>
      </c>
      <c r="BF12" s="22">
        <f>Справочник!$G$17*'Детализация на 5 лет'!BF4</f>
        <v>831040</v>
      </c>
      <c r="BG12" s="22">
        <f>Справочник!$G$17*'Детализация на 5 лет'!BG4</f>
        <v>831040</v>
      </c>
      <c r="BH12" s="22">
        <f>Справочник!$G$17*'Детализация на 5 лет'!BH4</f>
        <v>831040</v>
      </c>
      <c r="BI12" s="22">
        <f>Справочник!$G$17*'Детализация на 5 лет'!BI4</f>
        <v>831040</v>
      </c>
      <c r="BJ12" s="7"/>
    </row>
    <row r="13" spans="1:62" s="8" customFormat="1" ht="6" customHeight="1" thickBo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7"/>
    </row>
    <row r="14" spans="1:62" s="8" customFormat="1" ht="15" thickBot="1">
      <c r="A14" s="124" t="s">
        <v>110</v>
      </c>
      <c r="B14" s="19">
        <f>B15+B28</f>
        <v>1847000</v>
      </c>
      <c r="C14" s="19">
        <f t="shared" ref="C14:AJ14" si="4">C15+C28</f>
        <v>3177500</v>
      </c>
      <c r="D14" s="19">
        <f t="shared" si="4"/>
        <v>5299700</v>
      </c>
      <c r="E14" s="19">
        <f t="shared" si="4"/>
        <v>5500820</v>
      </c>
      <c r="F14" s="19">
        <f t="shared" si="4"/>
        <v>8360820</v>
      </c>
      <c r="G14" s="19">
        <f t="shared" si="4"/>
        <v>8400820</v>
      </c>
      <c r="H14" s="19">
        <f t="shared" si="4"/>
        <v>8460820</v>
      </c>
      <c r="I14" s="19">
        <f t="shared" si="4"/>
        <v>8520820</v>
      </c>
      <c r="J14" s="19">
        <f t="shared" si="4"/>
        <v>8560820</v>
      </c>
      <c r="K14" s="19">
        <f t="shared" si="4"/>
        <v>8620820</v>
      </c>
      <c r="L14" s="19">
        <f t="shared" si="4"/>
        <v>8680820</v>
      </c>
      <c r="M14" s="19">
        <f t="shared" si="4"/>
        <v>9020820</v>
      </c>
      <c r="N14" s="19">
        <f t="shared" si="4"/>
        <v>9020820</v>
      </c>
      <c r="O14" s="19">
        <f t="shared" si="4"/>
        <v>9020820</v>
      </c>
      <c r="P14" s="19">
        <f t="shared" si="4"/>
        <v>9020820</v>
      </c>
      <c r="Q14" s="19">
        <f t="shared" si="4"/>
        <v>9020820</v>
      </c>
      <c r="R14" s="19">
        <f t="shared" si="4"/>
        <v>9020820</v>
      </c>
      <c r="S14" s="19">
        <f t="shared" si="4"/>
        <v>9020820</v>
      </c>
      <c r="T14" s="19">
        <f t="shared" si="4"/>
        <v>9020820</v>
      </c>
      <c r="U14" s="19">
        <f t="shared" si="4"/>
        <v>9020820</v>
      </c>
      <c r="V14" s="19">
        <f t="shared" si="4"/>
        <v>9020820</v>
      </c>
      <c r="W14" s="19">
        <f t="shared" si="4"/>
        <v>9020820</v>
      </c>
      <c r="X14" s="19">
        <f t="shared" si="4"/>
        <v>9020820</v>
      </c>
      <c r="Y14" s="19">
        <f t="shared" si="4"/>
        <v>9020820</v>
      </c>
      <c r="Z14" s="19">
        <f t="shared" si="4"/>
        <v>9568956.4000000004</v>
      </c>
      <c r="AA14" s="19">
        <f t="shared" si="4"/>
        <v>9568956.4000000004</v>
      </c>
      <c r="AB14" s="19">
        <f t="shared" si="4"/>
        <v>9568956.4000000004</v>
      </c>
      <c r="AC14" s="19">
        <f t="shared" si="4"/>
        <v>9568956.4000000004</v>
      </c>
      <c r="AD14" s="19">
        <f t="shared" si="4"/>
        <v>9568956.4000000004</v>
      </c>
      <c r="AE14" s="19">
        <f t="shared" si="4"/>
        <v>9568956.4000000004</v>
      </c>
      <c r="AF14" s="19">
        <f t="shared" si="4"/>
        <v>9568956.4000000004</v>
      </c>
      <c r="AG14" s="19">
        <f t="shared" si="4"/>
        <v>9568956.4000000004</v>
      </c>
      <c r="AH14" s="19">
        <f t="shared" si="4"/>
        <v>9568956.4000000004</v>
      </c>
      <c r="AI14" s="19">
        <f t="shared" si="4"/>
        <v>9568956.4000000004</v>
      </c>
      <c r="AJ14" s="19">
        <f t="shared" si="4"/>
        <v>9568956.4000000004</v>
      </c>
      <c r="AK14" s="19">
        <f t="shared" ref="AK14:BI14" si="5">AK15+AK28</f>
        <v>9568957.4000000004</v>
      </c>
      <c r="AL14" s="19">
        <f t="shared" si="5"/>
        <v>9568958.4000000004</v>
      </c>
      <c r="AM14" s="19">
        <f t="shared" si="5"/>
        <v>9568959.4000000004</v>
      </c>
      <c r="AN14" s="19">
        <f t="shared" si="5"/>
        <v>9568960.4000000004</v>
      </c>
      <c r="AO14" s="19">
        <f t="shared" si="5"/>
        <v>9568961.4000000004</v>
      </c>
      <c r="AP14" s="19">
        <f t="shared" si="5"/>
        <v>9568962.4000000004</v>
      </c>
      <c r="AQ14" s="19">
        <f t="shared" si="5"/>
        <v>9568963.4000000004</v>
      </c>
      <c r="AR14" s="19">
        <f t="shared" si="5"/>
        <v>9568964.4000000004</v>
      </c>
      <c r="AS14" s="19">
        <f t="shared" si="5"/>
        <v>9568965.4000000004</v>
      </c>
      <c r="AT14" s="19">
        <f t="shared" si="5"/>
        <v>9568966.4000000004</v>
      </c>
      <c r="AU14" s="19">
        <f t="shared" si="5"/>
        <v>9568967.4000000004</v>
      </c>
      <c r="AV14" s="19">
        <f t="shared" si="5"/>
        <v>9568968.4000000004</v>
      </c>
      <c r="AW14" s="19">
        <f t="shared" si="5"/>
        <v>9568969.4000000004</v>
      </c>
      <c r="AX14" s="19">
        <f t="shared" si="5"/>
        <v>9568970.4000000004</v>
      </c>
      <c r="AY14" s="19">
        <f t="shared" si="5"/>
        <v>9568971.4000000004</v>
      </c>
      <c r="AZ14" s="19">
        <f t="shared" si="5"/>
        <v>9568972.4000000004</v>
      </c>
      <c r="BA14" s="19">
        <f t="shared" si="5"/>
        <v>9568973.4000000004</v>
      </c>
      <c r="BB14" s="19">
        <f t="shared" si="5"/>
        <v>9568974.4000000004</v>
      </c>
      <c r="BC14" s="19">
        <f t="shared" si="5"/>
        <v>9568975.4000000004</v>
      </c>
      <c r="BD14" s="19">
        <f t="shared" si="5"/>
        <v>9568976.4000000004</v>
      </c>
      <c r="BE14" s="19">
        <f t="shared" si="5"/>
        <v>9568977.4000000004</v>
      </c>
      <c r="BF14" s="19">
        <f t="shared" si="5"/>
        <v>9568978.4000000004</v>
      </c>
      <c r="BG14" s="19">
        <f t="shared" si="5"/>
        <v>9568979.4000000004</v>
      </c>
      <c r="BH14" s="19">
        <f t="shared" si="5"/>
        <v>9568980.4000000004</v>
      </c>
      <c r="BI14" s="19">
        <f t="shared" si="5"/>
        <v>9568981.4000000004</v>
      </c>
      <c r="BJ14" s="7"/>
    </row>
    <row r="15" spans="1:62" s="8" customFormat="1" ht="15" thickBot="1">
      <c r="A15" s="125" t="s">
        <v>115</v>
      </c>
      <c r="B15" s="37">
        <f>SUM(B16:B27)</f>
        <v>1675200</v>
      </c>
      <c r="C15" s="37">
        <f t="shared" ref="C15:AJ15" si="6">SUM(C16:C27)</f>
        <v>3005700</v>
      </c>
      <c r="D15" s="37">
        <f t="shared" si="6"/>
        <v>5127900</v>
      </c>
      <c r="E15" s="37">
        <f t="shared" si="6"/>
        <v>5187900</v>
      </c>
      <c r="F15" s="37">
        <f t="shared" si="6"/>
        <v>5247900</v>
      </c>
      <c r="G15" s="37">
        <f t="shared" si="6"/>
        <v>5287900</v>
      </c>
      <c r="H15" s="37">
        <f t="shared" si="6"/>
        <v>5347900</v>
      </c>
      <c r="I15" s="37">
        <f t="shared" si="6"/>
        <v>5407900</v>
      </c>
      <c r="J15" s="37">
        <f t="shared" si="6"/>
        <v>5447900</v>
      </c>
      <c r="K15" s="37">
        <f t="shared" si="6"/>
        <v>5507900</v>
      </c>
      <c r="L15" s="37">
        <f t="shared" si="6"/>
        <v>5567900</v>
      </c>
      <c r="M15" s="37">
        <f t="shared" si="6"/>
        <v>5907900</v>
      </c>
      <c r="N15" s="37">
        <f t="shared" si="6"/>
        <v>5907900</v>
      </c>
      <c r="O15" s="37">
        <f t="shared" si="6"/>
        <v>5907900</v>
      </c>
      <c r="P15" s="37">
        <f t="shared" si="6"/>
        <v>5907900</v>
      </c>
      <c r="Q15" s="37">
        <f t="shared" si="6"/>
        <v>5907900</v>
      </c>
      <c r="R15" s="37">
        <f t="shared" si="6"/>
        <v>5907900</v>
      </c>
      <c r="S15" s="37">
        <f t="shared" si="6"/>
        <v>5907900</v>
      </c>
      <c r="T15" s="37">
        <f t="shared" si="6"/>
        <v>5907900</v>
      </c>
      <c r="U15" s="37">
        <f t="shared" si="6"/>
        <v>5907900</v>
      </c>
      <c r="V15" s="37">
        <f t="shared" si="6"/>
        <v>5907900</v>
      </c>
      <c r="W15" s="37">
        <f t="shared" si="6"/>
        <v>5907900</v>
      </c>
      <c r="X15" s="37">
        <f t="shared" si="6"/>
        <v>5907900</v>
      </c>
      <c r="Y15" s="37">
        <f t="shared" si="6"/>
        <v>5907900</v>
      </c>
      <c r="Z15" s="37">
        <f t="shared" si="6"/>
        <v>6456036.4000000004</v>
      </c>
      <c r="AA15" s="37">
        <f t="shared" si="6"/>
        <v>6456036.4000000004</v>
      </c>
      <c r="AB15" s="37">
        <f t="shared" si="6"/>
        <v>6456036.4000000004</v>
      </c>
      <c r="AC15" s="37">
        <f t="shared" si="6"/>
        <v>6456036.4000000004</v>
      </c>
      <c r="AD15" s="37">
        <f t="shared" si="6"/>
        <v>6456036.4000000004</v>
      </c>
      <c r="AE15" s="37">
        <f t="shared" si="6"/>
        <v>6456036.4000000004</v>
      </c>
      <c r="AF15" s="37">
        <f t="shared" si="6"/>
        <v>6456036.4000000004</v>
      </c>
      <c r="AG15" s="37">
        <f t="shared" si="6"/>
        <v>6456036.4000000004</v>
      </c>
      <c r="AH15" s="37">
        <f t="shared" si="6"/>
        <v>6456036.4000000004</v>
      </c>
      <c r="AI15" s="37">
        <f t="shared" si="6"/>
        <v>6456036.4000000004</v>
      </c>
      <c r="AJ15" s="37">
        <f t="shared" si="6"/>
        <v>6456036.4000000004</v>
      </c>
      <c r="AK15" s="37">
        <f t="shared" ref="AK15:BI15" si="7">SUM(AK16:AK27)</f>
        <v>6456036.4000000004</v>
      </c>
      <c r="AL15" s="37">
        <f t="shared" si="7"/>
        <v>6456036.4000000004</v>
      </c>
      <c r="AM15" s="37">
        <f t="shared" si="7"/>
        <v>6456036.4000000004</v>
      </c>
      <c r="AN15" s="37">
        <f t="shared" si="7"/>
        <v>6456036.4000000004</v>
      </c>
      <c r="AO15" s="37">
        <f t="shared" si="7"/>
        <v>6456036.4000000004</v>
      </c>
      <c r="AP15" s="37">
        <f t="shared" si="7"/>
        <v>6456036.4000000004</v>
      </c>
      <c r="AQ15" s="37">
        <f t="shared" si="7"/>
        <v>6456036.4000000004</v>
      </c>
      <c r="AR15" s="37">
        <f t="shared" si="7"/>
        <v>6456036.4000000004</v>
      </c>
      <c r="AS15" s="37">
        <f t="shared" si="7"/>
        <v>6456036.4000000004</v>
      </c>
      <c r="AT15" s="37">
        <f t="shared" si="7"/>
        <v>6456036.4000000004</v>
      </c>
      <c r="AU15" s="37">
        <f t="shared" si="7"/>
        <v>6456036.4000000004</v>
      </c>
      <c r="AV15" s="37">
        <f t="shared" si="7"/>
        <v>6456036.4000000004</v>
      </c>
      <c r="AW15" s="37">
        <f t="shared" si="7"/>
        <v>6456036.4000000004</v>
      </c>
      <c r="AX15" s="37">
        <f t="shared" si="7"/>
        <v>6456036.4000000004</v>
      </c>
      <c r="AY15" s="37">
        <f t="shared" si="7"/>
        <v>6456036.4000000004</v>
      </c>
      <c r="AZ15" s="37">
        <f t="shared" si="7"/>
        <v>6456036.4000000004</v>
      </c>
      <c r="BA15" s="37">
        <f t="shared" si="7"/>
        <v>6456036.4000000004</v>
      </c>
      <c r="BB15" s="37">
        <f t="shared" si="7"/>
        <v>6456036.4000000004</v>
      </c>
      <c r="BC15" s="37">
        <f t="shared" si="7"/>
        <v>6456036.4000000004</v>
      </c>
      <c r="BD15" s="37">
        <f t="shared" si="7"/>
        <v>6456036.4000000004</v>
      </c>
      <c r="BE15" s="37">
        <f t="shared" si="7"/>
        <v>6456036.4000000004</v>
      </c>
      <c r="BF15" s="37">
        <f t="shared" si="7"/>
        <v>6456036.4000000004</v>
      </c>
      <c r="BG15" s="37">
        <f t="shared" si="7"/>
        <v>6456036.4000000004</v>
      </c>
      <c r="BH15" s="37">
        <f t="shared" si="7"/>
        <v>6456036.4000000004</v>
      </c>
      <c r="BI15" s="37">
        <f t="shared" si="7"/>
        <v>6456036.4000000004</v>
      </c>
      <c r="BJ15" s="7"/>
    </row>
    <row r="16" spans="1:62" s="8" customFormat="1">
      <c r="A16" s="15" t="s">
        <v>31</v>
      </c>
      <c r="B16" s="20">
        <v>0</v>
      </c>
      <c r="C16" s="20">
        <v>0</v>
      </c>
      <c r="D16" s="20">
        <f>Справочник!$B$23</f>
        <v>89600</v>
      </c>
      <c r="E16" s="20">
        <f>Справочник!$B$23</f>
        <v>89600</v>
      </c>
      <c r="F16" s="20">
        <f>Справочник!$B$23</f>
        <v>89600</v>
      </c>
      <c r="G16" s="20">
        <f>Справочник!$B$23</f>
        <v>89600</v>
      </c>
      <c r="H16" s="20">
        <f>Справочник!$B$23</f>
        <v>89600</v>
      </c>
      <c r="I16" s="20">
        <f>Справочник!$B$23</f>
        <v>89600</v>
      </c>
      <c r="J16" s="20">
        <f>Справочник!$B$23</f>
        <v>89600</v>
      </c>
      <c r="K16" s="20">
        <f>Справочник!$B$23</f>
        <v>89600</v>
      </c>
      <c r="L16" s="20">
        <f>Справочник!$B$23</f>
        <v>89600</v>
      </c>
      <c r="M16" s="20">
        <f>Справочник!$B$23</f>
        <v>89600</v>
      </c>
      <c r="N16" s="20">
        <f>Справочник!$B$23</f>
        <v>89600</v>
      </c>
      <c r="O16" s="20">
        <f>Справочник!$B$23</f>
        <v>89600</v>
      </c>
      <c r="P16" s="20">
        <f>Справочник!$B$23</f>
        <v>89600</v>
      </c>
      <c r="Q16" s="20">
        <f>Справочник!$B$23</f>
        <v>89600</v>
      </c>
      <c r="R16" s="20">
        <f>Справочник!$B$23</f>
        <v>89600</v>
      </c>
      <c r="S16" s="20">
        <f>Справочник!$B$23</f>
        <v>89600</v>
      </c>
      <c r="T16" s="20">
        <f>Справочник!$B$23</f>
        <v>89600</v>
      </c>
      <c r="U16" s="20">
        <f>Справочник!$B$23</f>
        <v>89600</v>
      </c>
      <c r="V16" s="20">
        <f>Справочник!$B$23</f>
        <v>89600</v>
      </c>
      <c r="W16" s="20">
        <f>Справочник!$B$23</f>
        <v>89600</v>
      </c>
      <c r="X16" s="20">
        <f>Справочник!$B$23</f>
        <v>89600</v>
      </c>
      <c r="Y16" s="20">
        <f>Справочник!$B$23</f>
        <v>89600</v>
      </c>
      <c r="Z16" s="20">
        <f>Справочник!$B$23</f>
        <v>89600</v>
      </c>
      <c r="AA16" s="20">
        <f>Справочник!$B$23</f>
        <v>89600</v>
      </c>
      <c r="AB16" s="20">
        <f>Справочник!$B$23</f>
        <v>89600</v>
      </c>
      <c r="AC16" s="20">
        <f>Справочник!$B$23</f>
        <v>89600</v>
      </c>
      <c r="AD16" s="20">
        <f>Справочник!$B$23</f>
        <v>89600</v>
      </c>
      <c r="AE16" s="20">
        <f>Справочник!$B$23</f>
        <v>89600</v>
      </c>
      <c r="AF16" s="20">
        <f>Справочник!$B$23</f>
        <v>89600</v>
      </c>
      <c r="AG16" s="20">
        <f>Справочник!$B$23</f>
        <v>89600</v>
      </c>
      <c r="AH16" s="20">
        <f>Справочник!$B$23</f>
        <v>89600</v>
      </c>
      <c r="AI16" s="20">
        <f>Справочник!$B$23</f>
        <v>89600</v>
      </c>
      <c r="AJ16" s="20">
        <f>Справочник!$B$23</f>
        <v>89600</v>
      </c>
      <c r="AK16" s="20">
        <f>Справочник!$B$23</f>
        <v>89600</v>
      </c>
      <c r="AL16" s="20">
        <f>Справочник!$B$23</f>
        <v>89600</v>
      </c>
      <c r="AM16" s="20">
        <f>Справочник!$B$23</f>
        <v>89600</v>
      </c>
      <c r="AN16" s="20">
        <f>Справочник!$B$23</f>
        <v>89600</v>
      </c>
      <c r="AO16" s="20">
        <f>Справочник!$B$23</f>
        <v>89600</v>
      </c>
      <c r="AP16" s="20">
        <f>Справочник!$B$23</f>
        <v>89600</v>
      </c>
      <c r="AQ16" s="20">
        <f>Справочник!$B$23</f>
        <v>89600</v>
      </c>
      <c r="AR16" s="20">
        <f>Справочник!$B$23</f>
        <v>89600</v>
      </c>
      <c r="AS16" s="20">
        <f>Справочник!$B$23</f>
        <v>89600</v>
      </c>
      <c r="AT16" s="20">
        <f>Справочник!$B$23</f>
        <v>89600</v>
      </c>
      <c r="AU16" s="20">
        <f>Справочник!$B$23</f>
        <v>89600</v>
      </c>
      <c r="AV16" s="20">
        <f>Справочник!$B$23</f>
        <v>89600</v>
      </c>
      <c r="AW16" s="20">
        <f>Справочник!$B$23</f>
        <v>89600</v>
      </c>
      <c r="AX16" s="20">
        <f>Справочник!$B$23</f>
        <v>89600</v>
      </c>
      <c r="AY16" s="20">
        <f>Справочник!$B$23</f>
        <v>89600</v>
      </c>
      <c r="AZ16" s="20">
        <f>Справочник!$B$23</f>
        <v>89600</v>
      </c>
      <c r="BA16" s="20">
        <f>Справочник!$B$23</f>
        <v>89600</v>
      </c>
      <c r="BB16" s="20">
        <f>Справочник!$B$23</f>
        <v>89600</v>
      </c>
      <c r="BC16" s="20">
        <f>Справочник!$B$23</f>
        <v>89600</v>
      </c>
      <c r="BD16" s="20">
        <f>Справочник!$B$23</f>
        <v>89600</v>
      </c>
      <c r="BE16" s="20">
        <f>Справочник!$B$23</f>
        <v>89600</v>
      </c>
      <c r="BF16" s="20">
        <f>Справочник!$B$23</f>
        <v>89600</v>
      </c>
      <c r="BG16" s="20">
        <f>Справочник!$B$23</f>
        <v>89600</v>
      </c>
      <c r="BH16" s="20">
        <f>Справочник!$B$23</f>
        <v>89600</v>
      </c>
      <c r="BI16" s="20">
        <f>Справочник!$B$23</f>
        <v>89600</v>
      </c>
      <c r="BJ16" s="7"/>
    </row>
    <row r="17" spans="1:63" s="8" customFormat="1">
      <c r="A17" s="12" t="s">
        <v>30</v>
      </c>
      <c r="B17" s="21">
        <f>Справочник!$B$43*B7</f>
        <v>300000</v>
      </c>
      <c r="C17" s="21">
        <f>Справочник!$B$43*C7</f>
        <v>360000</v>
      </c>
      <c r="D17" s="21">
        <f>Справочник!$B$43*D7</f>
        <v>420000</v>
      </c>
      <c r="E17" s="21">
        <f>Справочник!$B$43*E7</f>
        <v>480000</v>
      </c>
      <c r="F17" s="21">
        <f>Справочник!$B$43*F7</f>
        <v>540000</v>
      </c>
      <c r="G17" s="21">
        <f>Справочник!$B$43*G7</f>
        <v>580000</v>
      </c>
      <c r="H17" s="21">
        <f>Справочник!$B$43*H7</f>
        <v>640000</v>
      </c>
      <c r="I17" s="21">
        <f>Справочник!$B$43*I7</f>
        <v>700000</v>
      </c>
      <c r="J17" s="21">
        <f>Справочник!$B$43*J7</f>
        <v>740000</v>
      </c>
      <c r="K17" s="21">
        <f>Справочник!$B$43*K7</f>
        <v>800000</v>
      </c>
      <c r="L17" s="21">
        <f>Справочник!$B$43*L7</f>
        <v>860000</v>
      </c>
      <c r="M17" s="21">
        <f>Справочник!$B$43*M7</f>
        <v>1200000</v>
      </c>
      <c r="N17" s="21">
        <f>Справочник!$B$43*N7</f>
        <v>1200000</v>
      </c>
      <c r="O17" s="21">
        <f>Справочник!$B$43*O7</f>
        <v>1200000</v>
      </c>
      <c r="P17" s="21">
        <f>Справочник!$B$43*P7</f>
        <v>1200000</v>
      </c>
      <c r="Q17" s="21">
        <f>Справочник!$B$43*Q7</f>
        <v>1200000</v>
      </c>
      <c r="R17" s="21">
        <f>Справочник!$B$43*R7</f>
        <v>1200000</v>
      </c>
      <c r="S17" s="21">
        <f>Справочник!$B$43*S7</f>
        <v>1200000</v>
      </c>
      <c r="T17" s="21">
        <f>Справочник!$B$43*T7</f>
        <v>1200000</v>
      </c>
      <c r="U17" s="21">
        <f>Справочник!$B$43*U7</f>
        <v>1200000</v>
      </c>
      <c r="V17" s="21">
        <f>Справочник!$B$43*V7</f>
        <v>1200000</v>
      </c>
      <c r="W17" s="21">
        <f>Справочник!$B$43*W7</f>
        <v>1200000</v>
      </c>
      <c r="X17" s="21">
        <f>Справочник!$B$43*X7</f>
        <v>1200000</v>
      </c>
      <c r="Y17" s="21">
        <f>Справочник!$B$43*Y7</f>
        <v>1200000</v>
      </c>
      <c r="Z17" s="21">
        <f>Справочник!$B$43*Z7</f>
        <v>1200000</v>
      </c>
      <c r="AA17" s="21">
        <f>Справочник!$B$43*AA7</f>
        <v>1200000</v>
      </c>
      <c r="AB17" s="21">
        <f>Справочник!$B$43*AB7</f>
        <v>1200000</v>
      </c>
      <c r="AC17" s="21">
        <f>Справочник!$B$43*AC7</f>
        <v>1200000</v>
      </c>
      <c r="AD17" s="21">
        <f>Справочник!$B$43*AD7</f>
        <v>1200000</v>
      </c>
      <c r="AE17" s="21">
        <f>Справочник!$B$43*AE7</f>
        <v>1200000</v>
      </c>
      <c r="AF17" s="21">
        <f>Справочник!$B$43*AF7</f>
        <v>1200000</v>
      </c>
      <c r="AG17" s="21">
        <f>Справочник!$B$43*AG7</f>
        <v>1200000</v>
      </c>
      <c r="AH17" s="21">
        <f>Справочник!$B$43*AH7</f>
        <v>1200000</v>
      </c>
      <c r="AI17" s="21">
        <f>Справочник!$B$43*AI7</f>
        <v>1200000</v>
      </c>
      <c r="AJ17" s="21">
        <f>Справочник!$B$43*AJ7</f>
        <v>1200000</v>
      </c>
      <c r="AK17" s="21">
        <f>Справочник!$B$43*AK7</f>
        <v>1200000</v>
      </c>
      <c r="AL17" s="21">
        <f>Справочник!$B$43*AL7</f>
        <v>1200000</v>
      </c>
      <c r="AM17" s="21">
        <f>Справочник!$B$43*AM7</f>
        <v>1200000</v>
      </c>
      <c r="AN17" s="21">
        <f>Справочник!$B$43*AN7</f>
        <v>1200000</v>
      </c>
      <c r="AO17" s="21">
        <f>Справочник!$B$43*AO7</f>
        <v>1200000</v>
      </c>
      <c r="AP17" s="21">
        <f>Справочник!$B$43*AP7</f>
        <v>1200000</v>
      </c>
      <c r="AQ17" s="21">
        <f>Справочник!$B$43*AQ7</f>
        <v>1200000</v>
      </c>
      <c r="AR17" s="21">
        <f>Справочник!$B$43*AR7</f>
        <v>1200000</v>
      </c>
      <c r="AS17" s="21">
        <f>Справочник!$B$43*AS7</f>
        <v>1200000</v>
      </c>
      <c r="AT17" s="21">
        <f>Справочник!$B$43*AT7</f>
        <v>1200000</v>
      </c>
      <c r="AU17" s="21">
        <f>Справочник!$B$43*AU7</f>
        <v>1200000</v>
      </c>
      <c r="AV17" s="21">
        <f>Справочник!$B$43*AV7</f>
        <v>1200000</v>
      </c>
      <c r="AW17" s="21">
        <f>Справочник!$B$43*AW7</f>
        <v>1200000</v>
      </c>
      <c r="AX17" s="21">
        <f>Справочник!$B$43*AX7</f>
        <v>1200000</v>
      </c>
      <c r="AY17" s="21">
        <f>Справочник!$B$43*AY7</f>
        <v>1200000</v>
      </c>
      <c r="AZ17" s="21">
        <f>Справочник!$B$43*AZ7</f>
        <v>1200000</v>
      </c>
      <c r="BA17" s="21">
        <f>Справочник!$B$43*BA7</f>
        <v>1200000</v>
      </c>
      <c r="BB17" s="21">
        <f>Справочник!$B$43*BB7</f>
        <v>1200000</v>
      </c>
      <c r="BC17" s="21">
        <f>Справочник!$B$43*BC7</f>
        <v>1200000</v>
      </c>
      <c r="BD17" s="21">
        <f>Справочник!$B$43*BD7</f>
        <v>1200000</v>
      </c>
      <c r="BE17" s="21">
        <f>Справочник!$B$43*BE7</f>
        <v>1200000</v>
      </c>
      <c r="BF17" s="21">
        <f>Справочник!$B$43*BF7</f>
        <v>1200000</v>
      </c>
      <c r="BG17" s="21">
        <f>Справочник!$B$43*BG7</f>
        <v>1200000</v>
      </c>
      <c r="BH17" s="21">
        <f>Справочник!$B$43*BH7</f>
        <v>1200000</v>
      </c>
      <c r="BI17" s="21">
        <f>Справочник!$B$43*BI7</f>
        <v>1200000</v>
      </c>
      <c r="BJ17" s="7"/>
    </row>
    <row r="18" spans="1:63" s="8" customFormat="1">
      <c r="A18" s="12" t="s">
        <v>32</v>
      </c>
      <c r="B18" s="21">
        <f>SUM(Справочник!$B$32:$B$34)</f>
        <v>45000</v>
      </c>
      <c r="C18" s="21">
        <f>SUM(Справочник!$B$32:$B$34)</f>
        <v>45000</v>
      </c>
      <c r="D18" s="21">
        <f>SUM(Справочник!$B$32:$B$34)</f>
        <v>45000</v>
      </c>
      <c r="E18" s="21">
        <f>SUM(Справочник!$B$32:$B$34)</f>
        <v>45000</v>
      </c>
      <c r="F18" s="21">
        <f>SUM(Справочник!$B$32:$B$34)</f>
        <v>45000</v>
      </c>
      <c r="G18" s="21">
        <f>SUM(Справочник!$B$32:$B$34)</f>
        <v>45000</v>
      </c>
      <c r="H18" s="21">
        <f>SUM(Справочник!$B$32:$B$34)</f>
        <v>45000</v>
      </c>
      <c r="I18" s="21">
        <f>SUM(Справочник!$B$32:$B$34)</f>
        <v>45000</v>
      </c>
      <c r="J18" s="21">
        <f>SUM(Справочник!$B$32:$B$34)</f>
        <v>45000</v>
      </c>
      <c r="K18" s="21">
        <f>SUM(Справочник!$B$32:$B$34)</f>
        <v>45000</v>
      </c>
      <c r="L18" s="21">
        <f>SUM(Справочник!$B$32:$B$34)</f>
        <v>45000</v>
      </c>
      <c r="M18" s="21">
        <f>SUM(Справочник!$B$32:$B$34)</f>
        <v>45000</v>
      </c>
      <c r="N18" s="21">
        <f>SUM(Справочник!$B$32:$B$34)</f>
        <v>45000</v>
      </c>
      <c r="O18" s="21">
        <f>SUM(Справочник!$B$32:$B$34)</f>
        <v>45000</v>
      </c>
      <c r="P18" s="21">
        <f>SUM(Справочник!$B$32:$B$34)</f>
        <v>45000</v>
      </c>
      <c r="Q18" s="21">
        <f>SUM(Справочник!$B$32:$B$34)</f>
        <v>45000</v>
      </c>
      <c r="R18" s="21">
        <f>SUM(Справочник!$B$32:$B$34)</f>
        <v>45000</v>
      </c>
      <c r="S18" s="21">
        <f>SUM(Справочник!$B$32:$B$34)</f>
        <v>45000</v>
      </c>
      <c r="T18" s="21">
        <f>SUM(Справочник!$B$32:$B$34)</f>
        <v>45000</v>
      </c>
      <c r="U18" s="21">
        <f>SUM(Справочник!$B$32:$B$34)</f>
        <v>45000</v>
      </c>
      <c r="V18" s="21">
        <f>SUM(Справочник!$B$32:$B$34)</f>
        <v>45000</v>
      </c>
      <c r="W18" s="21">
        <f>SUM(Справочник!$B$32:$B$34)</f>
        <v>45000</v>
      </c>
      <c r="X18" s="21">
        <f>SUM(Справочник!$B$32:$B$34)</f>
        <v>45000</v>
      </c>
      <c r="Y18" s="21">
        <f>SUM(Справочник!$B$32:$B$34)</f>
        <v>45000</v>
      </c>
      <c r="Z18" s="21">
        <f>SUM(Справочник!$B$32:$B$34)</f>
        <v>45000</v>
      </c>
      <c r="AA18" s="21">
        <f>SUM(Справочник!$B$32:$B$34)</f>
        <v>45000</v>
      </c>
      <c r="AB18" s="21">
        <f>SUM(Справочник!$B$32:$B$34)</f>
        <v>45000</v>
      </c>
      <c r="AC18" s="21">
        <f>SUM(Справочник!$B$32:$B$34)</f>
        <v>45000</v>
      </c>
      <c r="AD18" s="21">
        <f>SUM(Справочник!$B$32:$B$34)</f>
        <v>45000</v>
      </c>
      <c r="AE18" s="21">
        <f>SUM(Справочник!$B$32:$B$34)</f>
        <v>45000</v>
      </c>
      <c r="AF18" s="21">
        <f>SUM(Справочник!$B$32:$B$34)</f>
        <v>45000</v>
      </c>
      <c r="AG18" s="21">
        <f>SUM(Справочник!$B$32:$B$34)</f>
        <v>45000</v>
      </c>
      <c r="AH18" s="21">
        <f>SUM(Справочник!$B$32:$B$34)</f>
        <v>45000</v>
      </c>
      <c r="AI18" s="21">
        <f>SUM(Справочник!$B$32:$B$34)</f>
        <v>45000</v>
      </c>
      <c r="AJ18" s="21">
        <f>SUM(Справочник!$B$32:$B$34)</f>
        <v>45000</v>
      </c>
      <c r="AK18" s="21">
        <f>SUM(Справочник!$B$32:$B$34)</f>
        <v>45000</v>
      </c>
      <c r="AL18" s="21">
        <f>SUM(Справочник!$B$32:$B$34)</f>
        <v>45000</v>
      </c>
      <c r="AM18" s="21">
        <f>SUM(Справочник!$B$32:$B$34)</f>
        <v>45000</v>
      </c>
      <c r="AN18" s="21">
        <f>SUM(Справочник!$B$32:$B$34)</f>
        <v>45000</v>
      </c>
      <c r="AO18" s="21">
        <f>SUM(Справочник!$B$32:$B$34)</f>
        <v>45000</v>
      </c>
      <c r="AP18" s="21">
        <f>SUM(Справочник!$B$32:$B$34)</f>
        <v>45000</v>
      </c>
      <c r="AQ18" s="21">
        <f>SUM(Справочник!$B$32:$B$34)</f>
        <v>45000</v>
      </c>
      <c r="AR18" s="21">
        <f>SUM(Справочник!$B$32:$B$34)</f>
        <v>45000</v>
      </c>
      <c r="AS18" s="21">
        <f>SUM(Справочник!$B$32:$B$34)</f>
        <v>45000</v>
      </c>
      <c r="AT18" s="21">
        <f>SUM(Справочник!$B$32:$B$34)</f>
        <v>45000</v>
      </c>
      <c r="AU18" s="21">
        <f>SUM(Справочник!$B$32:$B$34)</f>
        <v>45000</v>
      </c>
      <c r="AV18" s="21">
        <f>SUM(Справочник!$B$32:$B$34)</f>
        <v>45000</v>
      </c>
      <c r="AW18" s="21">
        <f>SUM(Справочник!$B$32:$B$34)</f>
        <v>45000</v>
      </c>
      <c r="AX18" s="21">
        <f>SUM(Справочник!$B$32:$B$34)</f>
        <v>45000</v>
      </c>
      <c r="AY18" s="21">
        <f>SUM(Справочник!$B$32:$B$34)</f>
        <v>45000</v>
      </c>
      <c r="AZ18" s="21">
        <f>SUM(Справочник!$B$32:$B$34)</f>
        <v>45000</v>
      </c>
      <c r="BA18" s="21">
        <f>SUM(Справочник!$B$32:$B$34)</f>
        <v>45000</v>
      </c>
      <c r="BB18" s="21">
        <f>SUM(Справочник!$B$32:$B$34)</f>
        <v>45000</v>
      </c>
      <c r="BC18" s="21">
        <f>SUM(Справочник!$B$32:$B$34)</f>
        <v>45000</v>
      </c>
      <c r="BD18" s="21">
        <f>SUM(Справочник!$B$32:$B$34)</f>
        <v>45000</v>
      </c>
      <c r="BE18" s="21">
        <f>SUM(Справочник!$B$32:$B$34)</f>
        <v>45000</v>
      </c>
      <c r="BF18" s="21">
        <f>SUM(Справочник!$B$32:$B$34)</f>
        <v>45000</v>
      </c>
      <c r="BG18" s="21">
        <f>SUM(Справочник!$B$32:$B$34)</f>
        <v>45000</v>
      </c>
      <c r="BH18" s="21">
        <f>SUM(Справочник!$B$32:$B$34)</f>
        <v>45000</v>
      </c>
      <c r="BI18" s="21">
        <f>SUM(Справочник!$B$32:$B$34)</f>
        <v>45000</v>
      </c>
      <c r="BJ18" s="7"/>
    </row>
    <row r="19" spans="1:63" s="8" customFormat="1">
      <c r="A19" s="12" t="s">
        <v>61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f t="shared" ref="Z19:AJ19" si="8">(Z8*0.07)/2</f>
        <v>548136.4</v>
      </c>
      <c r="AA19" s="21">
        <f t="shared" si="8"/>
        <v>548136.4</v>
      </c>
      <c r="AB19" s="21">
        <f t="shared" si="8"/>
        <v>548136.4</v>
      </c>
      <c r="AC19" s="21">
        <f t="shared" si="8"/>
        <v>548136.4</v>
      </c>
      <c r="AD19" s="21">
        <f t="shared" si="8"/>
        <v>548136.4</v>
      </c>
      <c r="AE19" s="21">
        <f t="shared" si="8"/>
        <v>548136.4</v>
      </c>
      <c r="AF19" s="21">
        <f t="shared" si="8"/>
        <v>548136.4</v>
      </c>
      <c r="AG19" s="21">
        <f t="shared" si="8"/>
        <v>548136.4</v>
      </c>
      <c r="AH19" s="21">
        <f t="shared" si="8"/>
        <v>548136.4</v>
      </c>
      <c r="AI19" s="21">
        <f t="shared" si="8"/>
        <v>548136.4</v>
      </c>
      <c r="AJ19" s="21">
        <f t="shared" si="8"/>
        <v>548136.4</v>
      </c>
      <c r="AK19" s="21">
        <f t="shared" ref="AK19:BI19" si="9">(AK8*0.07)/2</f>
        <v>548136.4</v>
      </c>
      <c r="AL19" s="21">
        <f t="shared" si="9"/>
        <v>548136.4</v>
      </c>
      <c r="AM19" s="21">
        <f t="shared" si="9"/>
        <v>548136.4</v>
      </c>
      <c r="AN19" s="21">
        <f t="shared" si="9"/>
        <v>548136.4</v>
      </c>
      <c r="AO19" s="21">
        <f t="shared" si="9"/>
        <v>548136.4</v>
      </c>
      <c r="AP19" s="21">
        <f t="shared" si="9"/>
        <v>548136.4</v>
      </c>
      <c r="AQ19" s="21">
        <f t="shared" si="9"/>
        <v>548136.4</v>
      </c>
      <c r="AR19" s="21">
        <f t="shared" si="9"/>
        <v>548136.4</v>
      </c>
      <c r="AS19" s="21">
        <f t="shared" si="9"/>
        <v>548136.4</v>
      </c>
      <c r="AT19" s="21">
        <f t="shared" si="9"/>
        <v>548136.4</v>
      </c>
      <c r="AU19" s="21">
        <f t="shared" si="9"/>
        <v>548136.4</v>
      </c>
      <c r="AV19" s="21">
        <f t="shared" si="9"/>
        <v>548136.4</v>
      </c>
      <c r="AW19" s="21">
        <f t="shared" si="9"/>
        <v>548136.4</v>
      </c>
      <c r="AX19" s="21">
        <f t="shared" si="9"/>
        <v>548136.4</v>
      </c>
      <c r="AY19" s="21">
        <f t="shared" si="9"/>
        <v>548136.4</v>
      </c>
      <c r="AZ19" s="21">
        <f t="shared" si="9"/>
        <v>548136.4</v>
      </c>
      <c r="BA19" s="21">
        <f t="shared" si="9"/>
        <v>548136.4</v>
      </c>
      <c r="BB19" s="21">
        <f t="shared" si="9"/>
        <v>548136.4</v>
      </c>
      <c r="BC19" s="21">
        <f t="shared" si="9"/>
        <v>548136.4</v>
      </c>
      <c r="BD19" s="21">
        <f t="shared" si="9"/>
        <v>548136.4</v>
      </c>
      <c r="BE19" s="21">
        <f t="shared" si="9"/>
        <v>548136.4</v>
      </c>
      <c r="BF19" s="21">
        <f t="shared" si="9"/>
        <v>548136.4</v>
      </c>
      <c r="BG19" s="21">
        <f t="shared" si="9"/>
        <v>548136.4</v>
      </c>
      <c r="BH19" s="21">
        <f t="shared" si="9"/>
        <v>548136.4</v>
      </c>
      <c r="BI19" s="21">
        <f t="shared" si="9"/>
        <v>548136.4</v>
      </c>
      <c r="BJ19" s="7"/>
    </row>
    <row r="20" spans="1:63" s="8" customFormat="1">
      <c r="A20" s="12" t="s">
        <v>80</v>
      </c>
      <c r="B20" s="309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7"/>
    </row>
    <row r="21" spans="1:63" s="8" customFormat="1">
      <c r="A21" s="15" t="str">
        <f>CONCATENATE("      - ",Справочник!D2," ",Справочник!E2)</f>
        <v xml:space="preserve">      - Администратор 1</v>
      </c>
      <c r="B21" s="20"/>
      <c r="C21" s="20"/>
      <c r="D21" s="20">
        <f>+Справочник!$E$2*Справочник!$F$2</f>
        <v>1000000</v>
      </c>
      <c r="E21" s="20">
        <f>+Справочник!$E$2*Справочник!$F$2</f>
        <v>1000000</v>
      </c>
      <c r="F21" s="20">
        <f>+Справочник!$E$2*Справочник!$F$2</f>
        <v>1000000</v>
      </c>
      <c r="G21" s="20">
        <f>+Справочник!$E$2*Справочник!$F$2</f>
        <v>1000000</v>
      </c>
      <c r="H21" s="20">
        <f>+Справочник!$E$2*Справочник!$F$2</f>
        <v>1000000</v>
      </c>
      <c r="I21" s="20">
        <f>+Справочник!$E$2*Справочник!$F$2</f>
        <v>1000000</v>
      </c>
      <c r="J21" s="20">
        <f>+Справочник!$E$2*Справочник!$F$2</f>
        <v>1000000</v>
      </c>
      <c r="K21" s="20">
        <f>+Справочник!$E$2*Справочник!$F$2</f>
        <v>1000000</v>
      </c>
      <c r="L21" s="20">
        <f>+Справочник!$E$2*Справочник!$F$2</f>
        <v>1000000</v>
      </c>
      <c r="M21" s="20">
        <f>+Справочник!$E$2*Справочник!$F$2</f>
        <v>1000000</v>
      </c>
      <c r="N21" s="20">
        <f>+Справочник!$E$2*Справочник!$F$2</f>
        <v>1000000</v>
      </c>
      <c r="O21" s="20">
        <f>+Справочник!$E$2*Справочник!$F$2</f>
        <v>1000000</v>
      </c>
      <c r="P21" s="20">
        <f>+Справочник!$E$2*Справочник!$F$2</f>
        <v>1000000</v>
      </c>
      <c r="Q21" s="20">
        <f>+Справочник!$E$2*Справочник!$F$2</f>
        <v>1000000</v>
      </c>
      <c r="R21" s="20">
        <f>+Справочник!$E$2*Справочник!$F$2</f>
        <v>1000000</v>
      </c>
      <c r="S21" s="20">
        <f>+Справочник!$E$2*Справочник!$F$2</f>
        <v>1000000</v>
      </c>
      <c r="T21" s="20">
        <f>+Справочник!$E$2*Справочник!$F$2</f>
        <v>1000000</v>
      </c>
      <c r="U21" s="20">
        <f>+Справочник!$E$2*Справочник!$F$2</f>
        <v>1000000</v>
      </c>
      <c r="V21" s="20">
        <f>+Справочник!$E$2*Справочник!$F$2</f>
        <v>1000000</v>
      </c>
      <c r="W21" s="20">
        <f>+Справочник!$E$2*Справочник!$F$2</f>
        <v>1000000</v>
      </c>
      <c r="X21" s="20">
        <f>+Справочник!$E$2*Справочник!$F$2</f>
        <v>1000000</v>
      </c>
      <c r="Y21" s="20">
        <f>+Справочник!$E$2*Справочник!$F$2</f>
        <v>1000000</v>
      </c>
      <c r="Z21" s="20">
        <f>+Справочник!$E$2*Справочник!$F$2</f>
        <v>1000000</v>
      </c>
      <c r="AA21" s="20">
        <f>+Справочник!$E$2*Справочник!$F$2</f>
        <v>1000000</v>
      </c>
      <c r="AB21" s="20">
        <f>+Справочник!$E$2*Справочник!$F$2</f>
        <v>1000000</v>
      </c>
      <c r="AC21" s="20">
        <f>+Справочник!$E$2*Справочник!$F$2</f>
        <v>1000000</v>
      </c>
      <c r="AD21" s="20">
        <f>+Справочник!$E$2*Справочник!$F$2</f>
        <v>1000000</v>
      </c>
      <c r="AE21" s="20">
        <f>+Справочник!$E$2*Справочник!$F$2</f>
        <v>1000000</v>
      </c>
      <c r="AF21" s="20">
        <f>+Справочник!$E$2*Справочник!$F$2</f>
        <v>1000000</v>
      </c>
      <c r="AG21" s="20">
        <f>+Справочник!$E$2*Справочник!$F$2</f>
        <v>1000000</v>
      </c>
      <c r="AH21" s="20">
        <f>+Справочник!$E$2*Справочник!$F$2</f>
        <v>1000000</v>
      </c>
      <c r="AI21" s="20">
        <f>+Справочник!$E$2*Справочник!$F$2</f>
        <v>1000000</v>
      </c>
      <c r="AJ21" s="20">
        <f>+Справочник!$E$2*Справочник!$F$2</f>
        <v>1000000</v>
      </c>
      <c r="AK21" s="20">
        <f>+Справочник!$E$2*Справочник!$F$2</f>
        <v>1000000</v>
      </c>
      <c r="AL21" s="20">
        <f>+Справочник!$E$2*Справочник!$F$2</f>
        <v>1000000</v>
      </c>
      <c r="AM21" s="20">
        <f>+Справочник!$E$2*Справочник!$F$2</f>
        <v>1000000</v>
      </c>
      <c r="AN21" s="20">
        <f>+Справочник!$E$2*Справочник!$F$2</f>
        <v>1000000</v>
      </c>
      <c r="AO21" s="20">
        <f>+Справочник!$E$2*Справочник!$F$2</f>
        <v>1000000</v>
      </c>
      <c r="AP21" s="20">
        <f>+Справочник!$E$2*Справочник!$F$2</f>
        <v>1000000</v>
      </c>
      <c r="AQ21" s="20">
        <f>+Справочник!$E$2*Справочник!$F$2</f>
        <v>1000000</v>
      </c>
      <c r="AR21" s="20">
        <f>+Справочник!$E$2*Справочник!$F$2</f>
        <v>1000000</v>
      </c>
      <c r="AS21" s="20">
        <f>+Справочник!$E$2*Справочник!$F$2</f>
        <v>1000000</v>
      </c>
      <c r="AT21" s="20">
        <f>+Справочник!$E$2*Справочник!$F$2</f>
        <v>1000000</v>
      </c>
      <c r="AU21" s="20">
        <f>+Справочник!$E$2*Справочник!$F$2</f>
        <v>1000000</v>
      </c>
      <c r="AV21" s="20">
        <f>+Справочник!$E$2*Справочник!$F$2</f>
        <v>1000000</v>
      </c>
      <c r="AW21" s="20">
        <f>+Справочник!$E$2*Справочник!$F$2</f>
        <v>1000000</v>
      </c>
      <c r="AX21" s="20">
        <f>+Справочник!$E$2*Справочник!$F$2</f>
        <v>1000000</v>
      </c>
      <c r="AY21" s="20">
        <f>+Справочник!$E$2*Справочник!$F$2</f>
        <v>1000000</v>
      </c>
      <c r="AZ21" s="20">
        <f>+Справочник!$E$2*Справочник!$F$2</f>
        <v>1000000</v>
      </c>
      <c r="BA21" s="20">
        <f>+Справочник!$E$2*Справочник!$F$2</f>
        <v>1000000</v>
      </c>
      <c r="BB21" s="20">
        <f>+Справочник!$E$2*Справочник!$F$2</f>
        <v>1000000</v>
      </c>
      <c r="BC21" s="20">
        <f>+Справочник!$E$2*Справочник!$F$2</f>
        <v>1000000</v>
      </c>
      <c r="BD21" s="20">
        <f>+Справочник!$E$2*Справочник!$F$2</f>
        <v>1000000</v>
      </c>
      <c r="BE21" s="20">
        <f>+Справочник!$E$2*Справочник!$F$2</f>
        <v>1000000</v>
      </c>
      <c r="BF21" s="20">
        <f>+Справочник!$E$2*Справочник!$F$2</f>
        <v>1000000</v>
      </c>
      <c r="BG21" s="20">
        <f>+Справочник!$E$2*Справочник!$F$2</f>
        <v>1000000</v>
      </c>
      <c r="BH21" s="20">
        <f>+Справочник!$E$2*Справочник!$F$2</f>
        <v>1000000</v>
      </c>
      <c r="BI21" s="20">
        <f>+Справочник!$E$2*Справочник!$F$2</f>
        <v>1000000</v>
      </c>
      <c r="BJ21" s="7"/>
    </row>
    <row r="22" spans="1:63" s="8" customFormat="1">
      <c r="A22" s="13" t="s">
        <v>103</v>
      </c>
      <c r="B22" s="21">
        <f>Справочник!F3*1</f>
        <v>320000</v>
      </c>
      <c r="C22" s="21">
        <f>Справочник!F3*2</f>
        <v>640000</v>
      </c>
      <c r="D22" s="21">
        <f>Справочник!$F$3*Справочник!$E$3</f>
        <v>1280000</v>
      </c>
      <c r="E22" s="21">
        <f>Справочник!$F$3*Справочник!$E$3</f>
        <v>1280000</v>
      </c>
      <c r="F22" s="21">
        <f>Справочник!$F$3*Справочник!$E$3</f>
        <v>1280000</v>
      </c>
      <c r="G22" s="21">
        <f>Справочник!$F$3*Справочник!$E$3</f>
        <v>1280000</v>
      </c>
      <c r="H22" s="21">
        <f>Справочник!$F$3*Справочник!$E$3</f>
        <v>1280000</v>
      </c>
      <c r="I22" s="21">
        <f>Справочник!$F$3*Справочник!$E$3</f>
        <v>1280000</v>
      </c>
      <c r="J22" s="21">
        <f>Справочник!$F$3*Справочник!$E$3</f>
        <v>1280000</v>
      </c>
      <c r="K22" s="21">
        <f>Справочник!$F$3*Справочник!$E$3</f>
        <v>1280000</v>
      </c>
      <c r="L22" s="21">
        <f>Справочник!$F$3*Справочник!$E$3</f>
        <v>1280000</v>
      </c>
      <c r="M22" s="21">
        <f>Справочник!$F$3*Справочник!$E$3</f>
        <v>1280000</v>
      </c>
      <c r="N22" s="21">
        <f>Справочник!$F$3*Справочник!$E$3</f>
        <v>1280000</v>
      </c>
      <c r="O22" s="21">
        <f>Справочник!$F$3*Справочник!$E$3</f>
        <v>1280000</v>
      </c>
      <c r="P22" s="21">
        <f>Справочник!$F$3*Справочник!$E$3</f>
        <v>1280000</v>
      </c>
      <c r="Q22" s="21">
        <f>Справочник!$F$3*Справочник!$E$3</f>
        <v>1280000</v>
      </c>
      <c r="R22" s="21">
        <f>Справочник!$F$3*Справочник!$E$3</f>
        <v>1280000</v>
      </c>
      <c r="S22" s="21">
        <f>Справочник!$F$3*Справочник!$E$3</f>
        <v>1280000</v>
      </c>
      <c r="T22" s="21">
        <f>Справочник!$F$3*Справочник!$E$3</f>
        <v>1280000</v>
      </c>
      <c r="U22" s="21">
        <f>Справочник!$F$3*Справочник!$E$3</f>
        <v>1280000</v>
      </c>
      <c r="V22" s="21">
        <f>Справочник!$F$3*Справочник!$E$3</f>
        <v>1280000</v>
      </c>
      <c r="W22" s="21">
        <f>Справочник!$F$3*Справочник!$E$3</f>
        <v>1280000</v>
      </c>
      <c r="X22" s="21">
        <f>Справочник!$F$3*Справочник!$E$3</f>
        <v>1280000</v>
      </c>
      <c r="Y22" s="21">
        <f>Справочник!$F$3*Справочник!$E$3</f>
        <v>1280000</v>
      </c>
      <c r="Z22" s="21">
        <f>Справочник!$F$3*Справочник!$E$3</f>
        <v>1280000</v>
      </c>
      <c r="AA22" s="21">
        <f>Справочник!$F$3*Справочник!$E$3</f>
        <v>1280000</v>
      </c>
      <c r="AB22" s="21">
        <f>Справочник!$F$3*Справочник!$E$3</f>
        <v>1280000</v>
      </c>
      <c r="AC22" s="21">
        <f>Справочник!$F$3*Справочник!$E$3</f>
        <v>1280000</v>
      </c>
      <c r="AD22" s="21">
        <f>Справочник!$F$3*Справочник!$E$3</f>
        <v>1280000</v>
      </c>
      <c r="AE22" s="21">
        <f>Справочник!$F$3*Справочник!$E$3</f>
        <v>1280000</v>
      </c>
      <c r="AF22" s="21">
        <f>Справочник!$F$3*Справочник!$E$3</f>
        <v>1280000</v>
      </c>
      <c r="AG22" s="21">
        <f>Справочник!$F$3*Справочник!$E$3</f>
        <v>1280000</v>
      </c>
      <c r="AH22" s="21">
        <f>Справочник!$F$3*Справочник!$E$3</f>
        <v>1280000</v>
      </c>
      <c r="AI22" s="21">
        <f>Справочник!$F$3*Справочник!$E$3</f>
        <v>1280000</v>
      </c>
      <c r="AJ22" s="21">
        <f>Справочник!$F$3*Справочник!$E$3</f>
        <v>1280000</v>
      </c>
      <c r="AK22" s="21">
        <f>Справочник!$F$3*Справочник!$E$3</f>
        <v>1280000</v>
      </c>
      <c r="AL22" s="21">
        <f>Справочник!$F$3*Справочник!$E$3</f>
        <v>1280000</v>
      </c>
      <c r="AM22" s="21">
        <f>Справочник!$F$3*Справочник!$E$3</f>
        <v>1280000</v>
      </c>
      <c r="AN22" s="21">
        <f>Справочник!$F$3*Справочник!$E$3</f>
        <v>1280000</v>
      </c>
      <c r="AO22" s="21">
        <f>Справочник!$F$3*Справочник!$E$3</f>
        <v>1280000</v>
      </c>
      <c r="AP22" s="21">
        <f>Справочник!$F$3*Справочник!$E$3</f>
        <v>1280000</v>
      </c>
      <c r="AQ22" s="21">
        <f>Справочник!$F$3*Справочник!$E$3</f>
        <v>1280000</v>
      </c>
      <c r="AR22" s="21">
        <f>Справочник!$F$3*Справочник!$E$3</f>
        <v>1280000</v>
      </c>
      <c r="AS22" s="21">
        <f>Справочник!$F$3*Справочник!$E$3</f>
        <v>1280000</v>
      </c>
      <c r="AT22" s="21">
        <f>Справочник!$F$3*Справочник!$E$3</f>
        <v>1280000</v>
      </c>
      <c r="AU22" s="21">
        <f>Справочник!$F$3*Справочник!$E$3</f>
        <v>1280000</v>
      </c>
      <c r="AV22" s="21">
        <f>Справочник!$F$3*Справочник!$E$3</f>
        <v>1280000</v>
      </c>
      <c r="AW22" s="21">
        <f>Справочник!$F$3*Справочник!$E$3</f>
        <v>1280000</v>
      </c>
      <c r="AX22" s="21">
        <f>Справочник!$F$3*Справочник!$E$3</f>
        <v>1280000</v>
      </c>
      <c r="AY22" s="21">
        <f>Справочник!$F$3*Справочник!$E$3</f>
        <v>1280000</v>
      </c>
      <c r="AZ22" s="21">
        <f>Справочник!$F$3*Справочник!$E$3</f>
        <v>1280000</v>
      </c>
      <c r="BA22" s="21">
        <f>Справочник!$F$3*Справочник!$E$3</f>
        <v>1280000</v>
      </c>
      <c r="BB22" s="21">
        <f>Справочник!$F$3*Справочник!$E$3</f>
        <v>1280000</v>
      </c>
      <c r="BC22" s="21">
        <f>Справочник!$F$3*Справочник!$E$3</f>
        <v>1280000</v>
      </c>
      <c r="BD22" s="21">
        <f>Справочник!$F$3*Справочник!$E$3</f>
        <v>1280000</v>
      </c>
      <c r="BE22" s="21">
        <f>Справочник!$F$3*Справочник!$E$3</f>
        <v>1280000</v>
      </c>
      <c r="BF22" s="21">
        <f>Справочник!$F$3*Справочник!$E$3</f>
        <v>1280000</v>
      </c>
      <c r="BG22" s="21">
        <f>Справочник!$F$3*Справочник!$E$3</f>
        <v>1280000</v>
      </c>
      <c r="BH22" s="21">
        <f>Справочник!$F$3*Справочник!$E$3</f>
        <v>1280000</v>
      </c>
      <c r="BI22" s="21">
        <f>Справочник!$F$3*Справочник!$E$3</f>
        <v>1280000</v>
      </c>
      <c r="BJ22" s="7"/>
    </row>
    <row r="23" spans="1:63" s="8" customFormat="1">
      <c r="A23" s="13" t="s">
        <v>104</v>
      </c>
      <c r="B23" s="21">
        <f>Справочник!F4</f>
        <v>260000</v>
      </c>
      <c r="C23" s="21">
        <f>Справочник!$F$4*Справочник!$E$4</f>
        <v>1040000</v>
      </c>
      <c r="D23" s="21">
        <f>Справочник!$F$4*Справочник!$E$4</f>
        <v>1040000</v>
      </c>
      <c r="E23" s="21">
        <f>Справочник!$F$4*Справочник!$E$4</f>
        <v>1040000</v>
      </c>
      <c r="F23" s="21">
        <f>Справочник!$F$4*Справочник!$E$4</f>
        <v>1040000</v>
      </c>
      <c r="G23" s="21">
        <f>Справочник!$F$4*Справочник!$E$4</f>
        <v>1040000</v>
      </c>
      <c r="H23" s="21">
        <f>Справочник!$F$4*Справочник!$E$4</f>
        <v>1040000</v>
      </c>
      <c r="I23" s="21">
        <f>Справочник!$F$4*Справочник!$E$4</f>
        <v>1040000</v>
      </c>
      <c r="J23" s="21">
        <f>Справочник!$F$4*Справочник!$E$4</f>
        <v>1040000</v>
      </c>
      <c r="K23" s="21">
        <f>Справочник!$F$4*Справочник!$E$4</f>
        <v>1040000</v>
      </c>
      <c r="L23" s="21">
        <f>Справочник!$F$4*Справочник!$E$4</f>
        <v>1040000</v>
      </c>
      <c r="M23" s="21">
        <f>Справочник!$F$4*Справочник!$E$4</f>
        <v>1040000</v>
      </c>
      <c r="N23" s="21">
        <f>Справочник!$F$4*Справочник!$E$4</f>
        <v>1040000</v>
      </c>
      <c r="O23" s="21">
        <f>Справочник!$F$4*Справочник!$E$4</f>
        <v>1040000</v>
      </c>
      <c r="P23" s="21">
        <f>Справочник!$F$4*Справочник!$E$4</f>
        <v>1040000</v>
      </c>
      <c r="Q23" s="21">
        <f>Справочник!$F$4*Справочник!$E$4</f>
        <v>1040000</v>
      </c>
      <c r="R23" s="21">
        <f>Справочник!$F$4*Справочник!$E$4</f>
        <v>1040000</v>
      </c>
      <c r="S23" s="21">
        <f>Справочник!$F$4*Справочник!$E$4</f>
        <v>1040000</v>
      </c>
      <c r="T23" s="21">
        <f>Справочник!$F$4*Справочник!$E$4</f>
        <v>1040000</v>
      </c>
      <c r="U23" s="21">
        <f>Справочник!$F$4*Справочник!$E$4</f>
        <v>1040000</v>
      </c>
      <c r="V23" s="21">
        <f>Справочник!$F$4*Справочник!$E$4</f>
        <v>1040000</v>
      </c>
      <c r="W23" s="21">
        <f>Справочник!$F$4*Справочник!$E$4</f>
        <v>1040000</v>
      </c>
      <c r="X23" s="21">
        <f>Справочник!$F$4*Справочник!$E$4</f>
        <v>1040000</v>
      </c>
      <c r="Y23" s="21">
        <f>Справочник!$F$4*Справочник!$E$4</f>
        <v>1040000</v>
      </c>
      <c r="Z23" s="21">
        <f>Справочник!$F$4*Справочник!$E$4</f>
        <v>1040000</v>
      </c>
      <c r="AA23" s="21">
        <f>Справочник!$F$4*Справочник!$E$4</f>
        <v>1040000</v>
      </c>
      <c r="AB23" s="21">
        <f>Справочник!$F$4*Справочник!$E$4</f>
        <v>1040000</v>
      </c>
      <c r="AC23" s="21">
        <f>Справочник!$F$4*Справочник!$E$4</f>
        <v>1040000</v>
      </c>
      <c r="AD23" s="21">
        <f>Справочник!$F$4*Справочник!$E$4</f>
        <v>1040000</v>
      </c>
      <c r="AE23" s="21">
        <f>Справочник!$F$4*Справочник!$E$4</f>
        <v>1040000</v>
      </c>
      <c r="AF23" s="21">
        <f>Справочник!$F$4*Справочник!$E$4</f>
        <v>1040000</v>
      </c>
      <c r="AG23" s="21">
        <f>Справочник!$F$4*Справочник!$E$4</f>
        <v>1040000</v>
      </c>
      <c r="AH23" s="21">
        <f>Справочник!$F$4*Справочник!$E$4</f>
        <v>1040000</v>
      </c>
      <c r="AI23" s="21">
        <f>Справочник!$F$4*Справочник!$E$4</f>
        <v>1040000</v>
      </c>
      <c r="AJ23" s="21">
        <f>Справочник!$F$4*Справочник!$E$4</f>
        <v>1040000</v>
      </c>
      <c r="AK23" s="21">
        <f>Справочник!$F$4*Справочник!$E$4</f>
        <v>1040000</v>
      </c>
      <c r="AL23" s="21">
        <f>Справочник!$F$4*Справочник!$E$4</f>
        <v>1040000</v>
      </c>
      <c r="AM23" s="21">
        <f>Справочник!$F$4*Справочник!$E$4</f>
        <v>1040000</v>
      </c>
      <c r="AN23" s="21">
        <f>Справочник!$F$4*Справочник!$E$4</f>
        <v>1040000</v>
      </c>
      <c r="AO23" s="21">
        <f>Справочник!$F$4*Справочник!$E$4</f>
        <v>1040000</v>
      </c>
      <c r="AP23" s="21">
        <f>Справочник!$F$4*Справочник!$E$4</f>
        <v>1040000</v>
      </c>
      <c r="AQ23" s="21">
        <f>Справочник!$F$4*Справочник!$E$4</f>
        <v>1040000</v>
      </c>
      <c r="AR23" s="21">
        <f>Справочник!$F$4*Справочник!$E$4</f>
        <v>1040000</v>
      </c>
      <c r="AS23" s="21">
        <f>Справочник!$F$4*Справочник!$E$4</f>
        <v>1040000</v>
      </c>
      <c r="AT23" s="21">
        <f>Справочник!$F$4*Справочник!$E$4</f>
        <v>1040000</v>
      </c>
      <c r="AU23" s="21">
        <f>Справочник!$F$4*Справочник!$E$4</f>
        <v>1040000</v>
      </c>
      <c r="AV23" s="21">
        <f>Справочник!$F$4*Справочник!$E$4</f>
        <v>1040000</v>
      </c>
      <c r="AW23" s="21">
        <f>Справочник!$F$4*Справочник!$E$4</f>
        <v>1040000</v>
      </c>
      <c r="AX23" s="21">
        <f>Справочник!$F$4*Справочник!$E$4</f>
        <v>1040000</v>
      </c>
      <c r="AY23" s="21">
        <f>Справочник!$F$4*Справочник!$E$4</f>
        <v>1040000</v>
      </c>
      <c r="AZ23" s="21">
        <f>Справочник!$F$4*Справочник!$E$4</f>
        <v>1040000</v>
      </c>
      <c r="BA23" s="21">
        <f>Справочник!$F$4*Справочник!$E$4</f>
        <v>1040000</v>
      </c>
      <c r="BB23" s="21">
        <f>Справочник!$F$4*Справочник!$E$4</f>
        <v>1040000</v>
      </c>
      <c r="BC23" s="21">
        <f>Справочник!$F$4*Справочник!$E$4</f>
        <v>1040000</v>
      </c>
      <c r="BD23" s="21">
        <f>Справочник!$F$4*Справочник!$E$4</f>
        <v>1040000</v>
      </c>
      <c r="BE23" s="21">
        <f>Справочник!$F$4*Справочник!$E$4</f>
        <v>1040000</v>
      </c>
      <c r="BF23" s="21">
        <f>Справочник!$F$4*Справочник!$E$4</f>
        <v>1040000</v>
      </c>
      <c r="BG23" s="21">
        <f>Справочник!$F$4*Справочник!$E$4</f>
        <v>1040000</v>
      </c>
      <c r="BH23" s="21">
        <f>Справочник!$F$4*Справочник!$E$4</f>
        <v>1040000</v>
      </c>
      <c r="BI23" s="21">
        <f>Справочник!$F$4*Справочник!$E$4</f>
        <v>1040000</v>
      </c>
      <c r="BJ23" s="7"/>
    </row>
    <row r="24" spans="1:63" s="8" customFormat="1">
      <c r="A24" s="13" t="s">
        <v>105</v>
      </c>
      <c r="B24" s="21">
        <f>Справочник!$F$6*Справочник!$E$6</f>
        <v>260000</v>
      </c>
      <c r="C24" s="21">
        <f>Справочник!$F$6*Справочник!$E$6</f>
        <v>260000</v>
      </c>
      <c r="D24" s="21">
        <f>Справочник!$F$6*Справочник!$E$6</f>
        <v>260000</v>
      </c>
      <c r="E24" s="21">
        <f>Справочник!$F$6*Справочник!$E$6</f>
        <v>260000</v>
      </c>
      <c r="F24" s="21">
        <f>Справочник!$F$6*Справочник!$E$6</f>
        <v>260000</v>
      </c>
      <c r="G24" s="21">
        <f>Справочник!$F$6*Справочник!$E$6</f>
        <v>260000</v>
      </c>
      <c r="H24" s="21">
        <f>Справочник!$F$6*Справочник!$E$6</f>
        <v>260000</v>
      </c>
      <c r="I24" s="21">
        <f>Справочник!$F$6*Справочник!$E$6</f>
        <v>260000</v>
      </c>
      <c r="J24" s="21">
        <f>Справочник!$F$6*Справочник!$E$6</f>
        <v>260000</v>
      </c>
      <c r="K24" s="21">
        <f>Справочник!$F$6*Справочник!$E$6</f>
        <v>260000</v>
      </c>
      <c r="L24" s="21">
        <f>Справочник!$F$6*Справочник!$E$6</f>
        <v>260000</v>
      </c>
      <c r="M24" s="21">
        <f>Справочник!$F$6*Справочник!$E$6</f>
        <v>260000</v>
      </c>
      <c r="N24" s="21">
        <f>Справочник!$F$6*Справочник!$E$6</f>
        <v>260000</v>
      </c>
      <c r="O24" s="21">
        <f>Справочник!$F$6*Справочник!$E$6</f>
        <v>260000</v>
      </c>
      <c r="P24" s="21">
        <f>Справочник!$F$6*Справочник!$E$6</f>
        <v>260000</v>
      </c>
      <c r="Q24" s="21">
        <f>Справочник!$F$6*Справочник!$E$6</f>
        <v>260000</v>
      </c>
      <c r="R24" s="21">
        <f>Справочник!$F$6*Справочник!$E$6</f>
        <v>260000</v>
      </c>
      <c r="S24" s="21">
        <f>Справочник!$F$6*Справочник!$E$6</f>
        <v>260000</v>
      </c>
      <c r="T24" s="21">
        <f>Справочник!$F$6*Справочник!$E$6</f>
        <v>260000</v>
      </c>
      <c r="U24" s="21">
        <f>Справочник!$F$6*Справочник!$E$6</f>
        <v>260000</v>
      </c>
      <c r="V24" s="21">
        <f>Справочник!$F$6*Справочник!$E$6</f>
        <v>260000</v>
      </c>
      <c r="W24" s="21">
        <f>Справочник!$F$6*Справочник!$E$6</f>
        <v>260000</v>
      </c>
      <c r="X24" s="21">
        <f>Справочник!$F$6*Справочник!$E$6</f>
        <v>260000</v>
      </c>
      <c r="Y24" s="21">
        <f>Справочник!$F$6*Справочник!$E$6</f>
        <v>260000</v>
      </c>
      <c r="Z24" s="21">
        <f>Справочник!$F$6*Справочник!$E$6</f>
        <v>260000</v>
      </c>
      <c r="AA24" s="21">
        <f>Справочник!$F$6*Справочник!$E$6</f>
        <v>260000</v>
      </c>
      <c r="AB24" s="21">
        <f>Справочник!$F$6*Справочник!$E$6</f>
        <v>260000</v>
      </c>
      <c r="AC24" s="21">
        <f>Справочник!$F$6*Справочник!$E$6</f>
        <v>260000</v>
      </c>
      <c r="AD24" s="21">
        <f>Справочник!$F$6*Справочник!$E$6</f>
        <v>260000</v>
      </c>
      <c r="AE24" s="21">
        <f>Справочник!$F$6*Справочник!$E$6</f>
        <v>260000</v>
      </c>
      <c r="AF24" s="21">
        <f>Справочник!$F$6*Справочник!$E$6</f>
        <v>260000</v>
      </c>
      <c r="AG24" s="21">
        <f>Справочник!$F$6*Справочник!$E$6</f>
        <v>260000</v>
      </c>
      <c r="AH24" s="21">
        <f>Справочник!$F$6*Справочник!$E$6</f>
        <v>260000</v>
      </c>
      <c r="AI24" s="21">
        <f>Справочник!$F$6*Справочник!$E$6</f>
        <v>260000</v>
      </c>
      <c r="AJ24" s="21">
        <f>Справочник!$F$6*Справочник!$E$6</f>
        <v>260000</v>
      </c>
      <c r="AK24" s="21">
        <f>Справочник!$F$6*Справочник!$E$6</f>
        <v>260000</v>
      </c>
      <c r="AL24" s="21">
        <f>Справочник!$F$6*Справочник!$E$6</f>
        <v>260000</v>
      </c>
      <c r="AM24" s="21">
        <f>Справочник!$F$6*Справочник!$E$6</f>
        <v>260000</v>
      </c>
      <c r="AN24" s="21">
        <f>Справочник!$F$6*Справочник!$E$6</f>
        <v>260000</v>
      </c>
      <c r="AO24" s="21">
        <f>Справочник!$F$6*Справочник!$E$6</f>
        <v>260000</v>
      </c>
      <c r="AP24" s="21">
        <f>Справочник!$F$6*Справочник!$E$6</f>
        <v>260000</v>
      </c>
      <c r="AQ24" s="21">
        <f>Справочник!$F$6*Справочник!$E$6</f>
        <v>260000</v>
      </c>
      <c r="AR24" s="21">
        <f>Справочник!$F$6*Справочник!$E$6</f>
        <v>260000</v>
      </c>
      <c r="AS24" s="21">
        <f>Справочник!$F$6*Справочник!$E$6</f>
        <v>260000</v>
      </c>
      <c r="AT24" s="21">
        <f>Справочник!$F$6*Справочник!$E$6</f>
        <v>260000</v>
      </c>
      <c r="AU24" s="21">
        <f>Справочник!$F$6*Справочник!$E$6</f>
        <v>260000</v>
      </c>
      <c r="AV24" s="21">
        <f>Справочник!$F$6*Справочник!$E$6</f>
        <v>260000</v>
      </c>
      <c r="AW24" s="21">
        <f>Справочник!$F$6*Справочник!$E$6</f>
        <v>260000</v>
      </c>
      <c r="AX24" s="21">
        <f>Справочник!$F$6*Справочник!$E$6</f>
        <v>260000</v>
      </c>
      <c r="AY24" s="21">
        <f>Справочник!$F$6*Справочник!$E$6</f>
        <v>260000</v>
      </c>
      <c r="AZ24" s="21">
        <f>Справочник!$F$6*Справочник!$E$6</f>
        <v>260000</v>
      </c>
      <c r="BA24" s="21">
        <f>Справочник!$F$6*Справочник!$E$6</f>
        <v>260000</v>
      </c>
      <c r="BB24" s="21">
        <f>Справочник!$F$6*Справочник!$E$6</f>
        <v>260000</v>
      </c>
      <c r="BC24" s="21">
        <f>Справочник!$F$6*Справочник!$E$6</f>
        <v>260000</v>
      </c>
      <c r="BD24" s="21">
        <f>Справочник!$F$6*Справочник!$E$6</f>
        <v>260000</v>
      </c>
      <c r="BE24" s="21">
        <f>Справочник!$F$6*Справочник!$E$6</f>
        <v>260000</v>
      </c>
      <c r="BF24" s="21">
        <f>Справочник!$F$6*Справочник!$E$6</f>
        <v>260000</v>
      </c>
      <c r="BG24" s="21">
        <f>Справочник!$F$6*Справочник!$E$6</f>
        <v>260000</v>
      </c>
      <c r="BH24" s="21">
        <f>Справочник!$F$6*Справочник!$E$6</f>
        <v>260000</v>
      </c>
      <c r="BI24" s="21">
        <f>Справочник!$F$6*Справочник!$E$6</f>
        <v>260000</v>
      </c>
      <c r="BJ24" s="7"/>
    </row>
    <row r="25" spans="1:63" s="8" customFormat="1">
      <c r="A25" s="13" t="s">
        <v>106</v>
      </c>
      <c r="B25" s="21"/>
      <c r="C25" s="21"/>
      <c r="D25" s="21">
        <f>Справочник!$G$8</f>
        <v>78400</v>
      </c>
      <c r="E25" s="21">
        <f>Справочник!$G$8</f>
        <v>78400</v>
      </c>
      <c r="F25" s="21">
        <f>Справочник!$G$8</f>
        <v>78400</v>
      </c>
      <c r="G25" s="21">
        <f>Справочник!$G$8</f>
        <v>78400</v>
      </c>
      <c r="H25" s="21">
        <f>Справочник!$G$8</f>
        <v>78400</v>
      </c>
      <c r="I25" s="21">
        <f>Справочник!$G$8</f>
        <v>78400</v>
      </c>
      <c r="J25" s="21">
        <f>Справочник!$G$8</f>
        <v>78400</v>
      </c>
      <c r="K25" s="21">
        <f>Справочник!$G$8</f>
        <v>78400</v>
      </c>
      <c r="L25" s="21">
        <f>Справочник!$G$8</f>
        <v>78400</v>
      </c>
      <c r="M25" s="21">
        <f>Справочник!$G$8</f>
        <v>78400</v>
      </c>
      <c r="N25" s="21">
        <f>Справочник!$G$8</f>
        <v>78400</v>
      </c>
      <c r="O25" s="21">
        <f>Справочник!$G$8</f>
        <v>78400</v>
      </c>
      <c r="P25" s="21">
        <f>Справочник!$G$8</f>
        <v>78400</v>
      </c>
      <c r="Q25" s="21">
        <f>Справочник!$G$8</f>
        <v>78400</v>
      </c>
      <c r="R25" s="21">
        <f>Справочник!$G$8</f>
        <v>78400</v>
      </c>
      <c r="S25" s="21">
        <f>Справочник!$G$8</f>
        <v>78400</v>
      </c>
      <c r="T25" s="21">
        <f>Справочник!$G$8</f>
        <v>78400</v>
      </c>
      <c r="U25" s="21">
        <f>Справочник!$G$8</f>
        <v>78400</v>
      </c>
      <c r="V25" s="21">
        <f>Справочник!$G$8</f>
        <v>78400</v>
      </c>
      <c r="W25" s="21">
        <f>Справочник!$G$8</f>
        <v>78400</v>
      </c>
      <c r="X25" s="21">
        <f>Справочник!$G$8</f>
        <v>78400</v>
      </c>
      <c r="Y25" s="21">
        <f>Справочник!$G$8</f>
        <v>78400</v>
      </c>
      <c r="Z25" s="21">
        <f>Справочник!$G$8</f>
        <v>78400</v>
      </c>
      <c r="AA25" s="21">
        <f>Справочник!$G$8</f>
        <v>78400</v>
      </c>
      <c r="AB25" s="21">
        <f>Справочник!$G$8</f>
        <v>78400</v>
      </c>
      <c r="AC25" s="21">
        <f>Справочник!$G$8</f>
        <v>78400</v>
      </c>
      <c r="AD25" s="21">
        <f>Справочник!$G$8</f>
        <v>78400</v>
      </c>
      <c r="AE25" s="21">
        <f>Справочник!$G$8</f>
        <v>78400</v>
      </c>
      <c r="AF25" s="21">
        <f>Справочник!$G$8</f>
        <v>78400</v>
      </c>
      <c r="AG25" s="21">
        <f>Справочник!$G$8</f>
        <v>78400</v>
      </c>
      <c r="AH25" s="21">
        <f>Справочник!$G$8</f>
        <v>78400</v>
      </c>
      <c r="AI25" s="21">
        <f>Справочник!$G$8</f>
        <v>78400</v>
      </c>
      <c r="AJ25" s="21">
        <f>Справочник!$G$8</f>
        <v>78400</v>
      </c>
      <c r="AK25" s="21">
        <f>Справочник!$G$8</f>
        <v>78400</v>
      </c>
      <c r="AL25" s="21">
        <f>Справочник!$G$8</f>
        <v>78400</v>
      </c>
      <c r="AM25" s="21">
        <f>Справочник!$G$8</f>
        <v>78400</v>
      </c>
      <c r="AN25" s="21">
        <f>Справочник!$G$8</f>
        <v>78400</v>
      </c>
      <c r="AO25" s="21">
        <f>Справочник!$G$8</f>
        <v>78400</v>
      </c>
      <c r="AP25" s="21">
        <f>Справочник!$G$8</f>
        <v>78400</v>
      </c>
      <c r="AQ25" s="21">
        <f>Справочник!$G$8</f>
        <v>78400</v>
      </c>
      <c r="AR25" s="21">
        <f>Справочник!$G$8</f>
        <v>78400</v>
      </c>
      <c r="AS25" s="21">
        <f>Справочник!$G$8</f>
        <v>78400</v>
      </c>
      <c r="AT25" s="21">
        <f>Справочник!$G$8</f>
        <v>78400</v>
      </c>
      <c r="AU25" s="21">
        <f>Справочник!$G$8</f>
        <v>78400</v>
      </c>
      <c r="AV25" s="21">
        <f>Справочник!$G$8</f>
        <v>78400</v>
      </c>
      <c r="AW25" s="21">
        <f>Справочник!$G$8</f>
        <v>78400</v>
      </c>
      <c r="AX25" s="21">
        <f>Справочник!$G$8</f>
        <v>78400</v>
      </c>
      <c r="AY25" s="21">
        <f>Справочник!$G$8</f>
        <v>78400</v>
      </c>
      <c r="AZ25" s="21">
        <f>Справочник!$G$8</f>
        <v>78400</v>
      </c>
      <c r="BA25" s="21">
        <f>Справочник!$G$8</f>
        <v>78400</v>
      </c>
      <c r="BB25" s="21">
        <f>Справочник!$G$8</f>
        <v>78400</v>
      </c>
      <c r="BC25" s="21">
        <f>Справочник!$G$8</f>
        <v>78400</v>
      </c>
      <c r="BD25" s="21">
        <f>Справочник!$G$8</f>
        <v>78400</v>
      </c>
      <c r="BE25" s="21">
        <f>Справочник!$G$8</f>
        <v>78400</v>
      </c>
      <c r="BF25" s="21">
        <f>Справочник!$G$8</f>
        <v>78400</v>
      </c>
      <c r="BG25" s="21">
        <f>Справочник!$G$8</f>
        <v>78400</v>
      </c>
      <c r="BH25" s="21">
        <f>Справочник!$G$8</f>
        <v>78400</v>
      </c>
      <c r="BI25" s="21">
        <f>Справочник!$G$8</f>
        <v>78400</v>
      </c>
      <c r="BJ25" s="7"/>
    </row>
    <row r="26" spans="1:63" s="8" customFormat="1">
      <c r="A26" s="13" t="s">
        <v>107</v>
      </c>
      <c r="B26" s="21">
        <f>(B22+B23+B24+B21)*0.31/2</f>
        <v>130200</v>
      </c>
      <c r="C26" s="21">
        <f t="shared" ref="C26:AJ26" si="10">(C22+C23+C24+C21)*0.31/2</f>
        <v>300700</v>
      </c>
      <c r="D26" s="21">
        <f t="shared" si="10"/>
        <v>554900</v>
      </c>
      <c r="E26" s="21">
        <f t="shared" si="10"/>
        <v>554900</v>
      </c>
      <c r="F26" s="21">
        <f t="shared" si="10"/>
        <v>554900</v>
      </c>
      <c r="G26" s="21">
        <f t="shared" si="10"/>
        <v>554900</v>
      </c>
      <c r="H26" s="21">
        <f t="shared" si="10"/>
        <v>554900</v>
      </c>
      <c r="I26" s="21">
        <f t="shared" si="10"/>
        <v>554900</v>
      </c>
      <c r="J26" s="21">
        <f t="shared" si="10"/>
        <v>554900</v>
      </c>
      <c r="K26" s="21">
        <f t="shared" si="10"/>
        <v>554900</v>
      </c>
      <c r="L26" s="21">
        <f t="shared" si="10"/>
        <v>554900</v>
      </c>
      <c r="M26" s="21">
        <f t="shared" si="10"/>
        <v>554900</v>
      </c>
      <c r="N26" s="21">
        <f t="shared" si="10"/>
        <v>554900</v>
      </c>
      <c r="O26" s="21">
        <f t="shared" si="10"/>
        <v>554900</v>
      </c>
      <c r="P26" s="21">
        <f t="shared" si="10"/>
        <v>554900</v>
      </c>
      <c r="Q26" s="21">
        <f t="shared" si="10"/>
        <v>554900</v>
      </c>
      <c r="R26" s="21">
        <f t="shared" si="10"/>
        <v>554900</v>
      </c>
      <c r="S26" s="21">
        <f t="shared" si="10"/>
        <v>554900</v>
      </c>
      <c r="T26" s="21">
        <f t="shared" si="10"/>
        <v>554900</v>
      </c>
      <c r="U26" s="21">
        <f t="shared" si="10"/>
        <v>554900</v>
      </c>
      <c r="V26" s="21">
        <f t="shared" si="10"/>
        <v>554900</v>
      </c>
      <c r="W26" s="21">
        <f t="shared" si="10"/>
        <v>554900</v>
      </c>
      <c r="X26" s="21">
        <f t="shared" si="10"/>
        <v>554900</v>
      </c>
      <c r="Y26" s="21">
        <f t="shared" si="10"/>
        <v>554900</v>
      </c>
      <c r="Z26" s="21">
        <f t="shared" si="10"/>
        <v>554900</v>
      </c>
      <c r="AA26" s="21">
        <f t="shared" si="10"/>
        <v>554900</v>
      </c>
      <c r="AB26" s="21">
        <f t="shared" si="10"/>
        <v>554900</v>
      </c>
      <c r="AC26" s="21">
        <f t="shared" si="10"/>
        <v>554900</v>
      </c>
      <c r="AD26" s="21">
        <f t="shared" si="10"/>
        <v>554900</v>
      </c>
      <c r="AE26" s="21">
        <f t="shared" si="10"/>
        <v>554900</v>
      </c>
      <c r="AF26" s="21">
        <f t="shared" si="10"/>
        <v>554900</v>
      </c>
      <c r="AG26" s="21">
        <f t="shared" si="10"/>
        <v>554900</v>
      </c>
      <c r="AH26" s="21">
        <f t="shared" si="10"/>
        <v>554900</v>
      </c>
      <c r="AI26" s="21">
        <f t="shared" si="10"/>
        <v>554900</v>
      </c>
      <c r="AJ26" s="21">
        <f t="shared" si="10"/>
        <v>554900</v>
      </c>
      <c r="AK26" s="21">
        <f t="shared" ref="AK26:BI26" si="11">(AK22+AK23+AK24+AK21)*0.31/2</f>
        <v>554900</v>
      </c>
      <c r="AL26" s="21">
        <f t="shared" si="11"/>
        <v>554900</v>
      </c>
      <c r="AM26" s="21">
        <f t="shared" si="11"/>
        <v>554900</v>
      </c>
      <c r="AN26" s="21">
        <f t="shared" si="11"/>
        <v>554900</v>
      </c>
      <c r="AO26" s="21">
        <f t="shared" si="11"/>
        <v>554900</v>
      </c>
      <c r="AP26" s="21">
        <f t="shared" si="11"/>
        <v>554900</v>
      </c>
      <c r="AQ26" s="21">
        <f t="shared" si="11"/>
        <v>554900</v>
      </c>
      <c r="AR26" s="21">
        <f t="shared" si="11"/>
        <v>554900</v>
      </c>
      <c r="AS26" s="21">
        <f t="shared" si="11"/>
        <v>554900</v>
      </c>
      <c r="AT26" s="21">
        <f t="shared" si="11"/>
        <v>554900</v>
      </c>
      <c r="AU26" s="21">
        <f t="shared" si="11"/>
        <v>554900</v>
      </c>
      <c r="AV26" s="21">
        <f t="shared" si="11"/>
        <v>554900</v>
      </c>
      <c r="AW26" s="21">
        <f t="shared" si="11"/>
        <v>554900</v>
      </c>
      <c r="AX26" s="21">
        <f t="shared" si="11"/>
        <v>554900</v>
      </c>
      <c r="AY26" s="21">
        <f t="shared" si="11"/>
        <v>554900</v>
      </c>
      <c r="AZ26" s="21">
        <f t="shared" si="11"/>
        <v>554900</v>
      </c>
      <c r="BA26" s="21">
        <f t="shared" si="11"/>
        <v>554900</v>
      </c>
      <c r="BB26" s="21">
        <f t="shared" si="11"/>
        <v>554900</v>
      </c>
      <c r="BC26" s="21">
        <f t="shared" si="11"/>
        <v>554900</v>
      </c>
      <c r="BD26" s="21">
        <f t="shared" si="11"/>
        <v>554900</v>
      </c>
      <c r="BE26" s="21">
        <f t="shared" si="11"/>
        <v>554900</v>
      </c>
      <c r="BF26" s="21">
        <f t="shared" si="11"/>
        <v>554900</v>
      </c>
      <c r="BG26" s="21">
        <f t="shared" si="11"/>
        <v>554900</v>
      </c>
      <c r="BH26" s="21">
        <f t="shared" si="11"/>
        <v>554900</v>
      </c>
      <c r="BI26" s="21">
        <f t="shared" si="11"/>
        <v>554900</v>
      </c>
      <c r="BJ26" s="7"/>
    </row>
    <row r="27" spans="1:63" s="8" customFormat="1" ht="15" thickBot="1">
      <c r="A27" s="13" t="s">
        <v>60</v>
      </c>
      <c r="B27" s="22">
        <f>Справочник!$G$10</f>
        <v>360000</v>
      </c>
      <c r="C27" s="22">
        <f>Справочник!$G$10</f>
        <v>360000</v>
      </c>
      <c r="D27" s="22">
        <f>Справочник!$G$10</f>
        <v>360000</v>
      </c>
      <c r="E27" s="22">
        <f>Справочник!$G$10</f>
        <v>360000</v>
      </c>
      <c r="F27" s="22">
        <f>Справочник!$G$10</f>
        <v>360000</v>
      </c>
      <c r="G27" s="22">
        <f>Справочник!$G$10</f>
        <v>360000</v>
      </c>
      <c r="H27" s="22">
        <f>Справочник!$G$10</f>
        <v>360000</v>
      </c>
      <c r="I27" s="22">
        <f>Справочник!$G$10</f>
        <v>360000</v>
      </c>
      <c r="J27" s="22">
        <f>Справочник!$G$10</f>
        <v>360000</v>
      </c>
      <c r="K27" s="22">
        <f>Справочник!$G$10</f>
        <v>360000</v>
      </c>
      <c r="L27" s="22">
        <f>Справочник!$G$10</f>
        <v>360000</v>
      </c>
      <c r="M27" s="22">
        <f>Справочник!$G$10</f>
        <v>360000</v>
      </c>
      <c r="N27" s="22">
        <f>Справочник!$G$10</f>
        <v>360000</v>
      </c>
      <c r="O27" s="22">
        <f>Справочник!$G$10</f>
        <v>360000</v>
      </c>
      <c r="P27" s="22">
        <f>Справочник!$G$10</f>
        <v>360000</v>
      </c>
      <c r="Q27" s="22">
        <f>Справочник!$G$10</f>
        <v>360000</v>
      </c>
      <c r="R27" s="22">
        <f>Справочник!$G$10</f>
        <v>360000</v>
      </c>
      <c r="S27" s="22">
        <f>Справочник!$G$10</f>
        <v>360000</v>
      </c>
      <c r="T27" s="22">
        <f>Справочник!$G$10</f>
        <v>360000</v>
      </c>
      <c r="U27" s="22">
        <f>Справочник!$G$10</f>
        <v>360000</v>
      </c>
      <c r="V27" s="22">
        <f>Справочник!$G$10</f>
        <v>360000</v>
      </c>
      <c r="W27" s="22">
        <f>Справочник!$G$10</f>
        <v>360000</v>
      </c>
      <c r="X27" s="22">
        <f>Справочник!$G$10</f>
        <v>360000</v>
      </c>
      <c r="Y27" s="22">
        <f>Справочник!$G$10</f>
        <v>360000</v>
      </c>
      <c r="Z27" s="22">
        <f>Справочник!$G$10</f>
        <v>360000</v>
      </c>
      <c r="AA27" s="22">
        <f>Справочник!$G$10</f>
        <v>360000</v>
      </c>
      <c r="AB27" s="22">
        <f>Справочник!$G$10</f>
        <v>360000</v>
      </c>
      <c r="AC27" s="22">
        <f>Справочник!$G$10</f>
        <v>360000</v>
      </c>
      <c r="AD27" s="22">
        <f>Справочник!$G$10</f>
        <v>360000</v>
      </c>
      <c r="AE27" s="22">
        <f>Справочник!$G$10</f>
        <v>360000</v>
      </c>
      <c r="AF27" s="22">
        <f>Справочник!$G$10</f>
        <v>360000</v>
      </c>
      <c r="AG27" s="22">
        <f>Справочник!$G$10</f>
        <v>360000</v>
      </c>
      <c r="AH27" s="22">
        <f>Справочник!$G$10</f>
        <v>360000</v>
      </c>
      <c r="AI27" s="22">
        <f>Справочник!$G$10</f>
        <v>360000</v>
      </c>
      <c r="AJ27" s="22">
        <f>Справочник!$G$10</f>
        <v>360000</v>
      </c>
      <c r="AK27" s="22">
        <f>Справочник!$G$10</f>
        <v>360000</v>
      </c>
      <c r="AL27" s="22">
        <f>Справочник!$G$10</f>
        <v>360000</v>
      </c>
      <c r="AM27" s="22">
        <f>Справочник!$G$10</f>
        <v>360000</v>
      </c>
      <c r="AN27" s="22">
        <f>Справочник!$G$10</f>
        <v>360000</v>
      </c>
      <c r="AO27" s="22">
        <f>Справочник!$G$10</f>
        <v>360000</v>
      </c>
      <c r="AP27" s="22">
        <f>Справочник!$G$10</f>
        <v>360000</v>
      </c>
      <c r="AQ27" s="22">
        <f>Справочник!$G$10</f>
        <v>360000</v>
      </c>
      <c r="AR27" s="22">
        <f>Справочник!$G$10</f>
        <v>360000</v>
      </c>
      <c r="AS27" s="22">
        <f>Справочник!$G$10</f>
        <v>360000</v>
      </c>
      <c r="AT27" s="22">
        <f>Справочник!$G$10</f>
        <v>360000</v>
      </c>
      <c r="AU27" s="22">
        <f>Справочник!$G$10</f>
        <v>360000</v>
      </c>
      <c r="AV27" s="22">
        <f>Справочник!$G$10</f>
        <v>360000</v>
      </c>
      <c r="AW27" s="22">
        <f>Справочник!$G$10</f>
        <v>360000</v>
      </c>
      <c r="AX27" s="22">
        <f>Справочник!$G$10</f>
        <v>360000</v>
      </c>
      <c r="AY27" s="22">
        <f>Справочник!$G$10</f>
        <v>360000</v>
      </c>
      <c r="AZ27" s="22">
        <f>Справочник!$G$10</f>
        <v>360000</v>
      </c>
      <c r="BA27" s="22">
        <f>Справочник!$G$10</f>
        <v>360000</v>
      </c>
      <c r="BB27" s="22">
        <f>Справочник!$G$10</f>
        <v>360000</v>
      </c>
      <c r="BC27" s="22">
        <f>Справочник!$G$10</f>
        <v>360000</v>
      </c>
      <c r="BD27" s="22">
        <f>Справочник!$G$10</f>
        <v>360000</v>
      </c>
      <c r="BE27" s="22">
        <f>Справочник!$G$10</f>
        <v>360000</v>
      </c>
      <c r="BF27" s="22">
        <f>Справочник!$G$10</f>
        <v>360000</v>
      </c>
      <c r="BG27" s="22">
        <f>Справочник!$G$10</f>
        <v>360000</v>
      </c>
      <c r="BH27" s="22">
        <f>Справочник!$G$10</f>
        <v>360000</v>
      </c>
      <c r="BI27" s="22">
        <f>Справочник!$G$10</f>
        <v>360000</v>
      </c>
      <c r="BJ27" s="7"/>
    </row>
    <row r="28" spans="1:63" s="8" customFormat="1" ht="15" thickBot="1">
      <c r="A28" s="127" t="s">
        <v>116</v>
      </c>
      <c r="B28" s="37">
        <f>SUM(B29:B33)</f>
        <v>171800</v>
      </c>
      <c r="C28" s="37">
        <f t="shared" ref="C28:AJ28" si="12">SUM(C29:C33)</f>
        <v>171800</v>
      </c>
      <c r="D28" s="37">
        <f t="shared" si="12"/>
        <v>171800</v>
      </c>
      <c r="E28" s="37">
        <f t="shared" si="12"/>
        <v>312920</v>
      </c>
      <c r="F28" s="37">
        <f t="shared" si="12"/>
        <v>3112920</v>
      </c>
      <c r="G28" s="37">
        <f t="shared" si="12"/>
        <v>3112920</v>
      </c>
      <c r="H28" s="37">
        <f t="shared" si="12"/>
        <v>3112920</v>
      </c>
      <c r="I28" s="37">
        <f t="shared" si="12"/>
        <v>3112920</v>
      </c>
      <c r="J28" s="37">
        <f t="shared" si="12"/>
        <v>3112920</v>
      </c>
      <c r="K28" s="37">
        <f t="shared" si="12"/>
        <v>3112920</v>
      </c>
      <c r="L28" s="37">
        <f t="shared" si="12"/>
        <v>3112920</v>
      </c>
      <c r="M28" s="37">
        <f t="shared" si="12"/>
        <v>3112920</v>
      </c>
      <c r="N28" s="37">
        <f t="shared" si="12"/>
        <v>3112920</v>
      </c>
      <c r="O28" s="37">
        <f t="shared" si="12"/>
        <v>3112920</v>
      </c>
      <c r="P28" s="37">
        <f t="shared" si="12"/>
        <v>3112920</v>
      </c>
      <c r="Q28" s="37">
        <f t="shared" si="12"/>
        <v>3112920</v>
      </c>
      <c r="R28" s="37">
        <f t="shared" si="12"/>
        <v>3112920</v>
      </c>
      <c r="S28" s="37">
        <f t="shared" si="12"/>
        <v>3112920</v>
      </c>
      <c r="T28" s="37">
        <f t="shared" si="12"/>
        <v>3112920</v>
      </c>
      <c r="U28" s="37">
        <f t="shared" si="12"/>
        <v>3112920</v>
      </c>
      <c r="V28" s="37">
        <f t="shared" si="12"/>
        <v>3112920</v>
      </c>
      <c r="W28" s="37">
        <f t="shared" si="12"/>
        <v>3112920</v>
      </c>
      <c r="X28" s="37">
        <f t="shared" si="12"/>
        <v>3112920</v>
      </c>
      <c r="Y28" s="37">
        <f t="shared" si="12"/>
        <v>3112920</v>
      </c>
      <c r="Z28" s="37">
        <f t="shared" si="12"/>
        <v>3112920</v>
      </c>
      <c r="AA28" s="37">
        <f t="shared" si="12"/>
        <v>3112920</v>
      </c>
      <c r="AB28" s="37">
        <f t="shared" si="12"/>
        <v>3112920</v>
      </c>
      <c r="AC28" s="37">
        <f t="shared" si="12"/>
        <v>3112920</v>
      </c>
      <c r="AD28" s="37">
        <f t="shared" si="12"/>
        <v>3112920</v>
      </c>
      <c r="AE28" s="37">
        <f t="shared" si="12"/>
        <v>3112920</v>
      </c>
      <c r="AF28" s="37">
        <f t="shared" si="12"/>
        <v>3112920</v>
      </c>
      <c r="AG28" s="37">
        <f t="shared" si="12"/>
        <v>3112920</v>
      </c>
      <c r="AH28" s="37">
        <f t="shared" si="12"/>
        <v>3112920</v>
      </c>
      <c r="AI28" s="37">
        <f t="shared" si="12"/>
        <v>3112920</v>
      </c>
      <c r="AJ28" s="37">
        <f t="shared" si="12"/>
        <v>3112920</v>
      </c>
      <c r="AK28" s="37">
        <f t="shared" ref="AK28:BI28" si="13">SUM(AK29:AK33)</f>
        <v>3112921</v>
      </c>
      <c r="AL28" s="37">
        <f t="shared" si="13"/>
        <v>3112922</v>
      </c>
      <c r="AM28" s="37">
        <f t="shared" si="13"/>
        <v>3112923</v>
      </c>
      <c r="AN28" s="37">
        <f t="shared" si="13"/>
        <v>3112924</v>
      </c>
      <c r="AO28" s="37">
        <f t="shared" si="13"/>
        <v>3112925</v>
      </c>
      <c r="AP28" s="37">
        <f t="shared" si="13"/>
        <v>3112926</v>
      </c>
      <c r="AQ28" s="37">
        <f t="shared" si="13"/>
        <v>3112927</v>
      </c>
      <c r="AR28" s="37">
        <f t="shared" si="13"/>
        <v>3112928</v>
      </c>
      <c r="AS28" s="37">
        <f t="shared" si="13"/>
        <v>3112929</v>
      </c>
      <c r="AT28" s="37">
        <f t="shared" si="13"/>
        <v>3112930</v>
      </c>
      <c r="AU28" s="37">
        <f t="shared" si="13"/>
        <v>3112931</v>
      </c>
      <c r="AV28" s="37">
        <f t="shared" si="13"/>
        <v>3112932</v>
      </c>
      <c r="AW28" s="37">
        <f t="shared" si="13"/>
        <v>3112933</v>
      </c>
      <c r="AX28" s="37">
        <f t="shared" si="13"/>
        <v>3112934</v>
      </c>
      <c r="AY28" s="37">
        <f t="shared" si="13"/>
        <v>3112935</v>
      </c>
      <c r="AZ28" s="37">
        <f t="shared" si="13"/>
        <v>3112936</v>
      </c>
      <c r="BA28" s="37">
        <f t="shared" si="13"/>
        <v>3112937</v>
      </c>
      <c r="BB28" s="37">
        <f t="shared" si="13"/>
        <v>3112938</v>
      </c>
      <c r="BC28" s="37">
        <f t="shared" si="13"/>
        <v>3112939</v>
      </c>
      <c r="BD28" s="37">
        <f t="shared" si="13"/>
        <v>3112940</v>
      </c>
      <c r="BE28" s="37">
        <f t="shared" si="13"/>
        <v>3112941</v>
      </c>
      <c r="BF28" s="37">
        <f t="shared" si="13"/>
        <v>3112942</v>
      </c>
      <c r="BG28" s="37">
        <f t="shared" si="13"/>
        <v>3112943</v>
      </c>
      <c r="BH28" s="37">
        <f t="shared" si="13"/>
        <v>3112944</v>
      </c>
      <c r="BI28" s="37">
        <f t="shared" si="13"/>
        <v>3112945</v>
      </c>
      <c r="BJ28" s="7"/>
      <c r="BK28" s="243"/>
    </row>
    <row r="29" spans="1:63">
      <c r="A29" s="39" t="s">
        <v>119</v>
      </c>
      <c r="B29" s="38"/>
      <c r="C29" s="38"/>
      <c r="D29" s="38"/>
      <c r="E29" s="38"/>
      <c r="F29" s="38">
        <f>Справочник!$B$11*Справочник!$B$12</f>
        <v>2800000</v>
      </c>
      <c r="G29" s="38">
        <f>Справочник!$B$11*Справочник!$B$12</f>
        <v>2800000</v>
      </c>
      <c r="H29" s="38">
        <f>Справочник!$B$11*Справочник!$B$12</f>
        <v>2800000</v>
      </c>
      <c r="I29" s="38">
        <f>Справочник!$B$11*Справочник!$B$12</f>
        <v>2800000</v>
      </c>
      <c r="J29" s="38">
        <f>Справочник!$B$11*Справочник!$B$12</f>
        <v>2800000</v>
      </c>
      <c r="K29" s="38">
        <f>Справочник!$B$11*Справочник!$B$12</f>
        <v>2800000</v>
      </c>
      <c r="L29" s="38">
        <f>Справочник!$B$11*Справочник!$B$12</f>
        <v>2800000</v>
      </c>
      <c r="M29" s="38">
        <f>Справочник!$B$11*Справочник!$B$12</f>
        <v>2800000</v>
      </c>
      <c r="N29" s="38">
        <f>Справочник!$B$11*Справочник!$B$12</f>
        <v>2800000</v>
      </c>
      <c r="O29" s="38">
        <f>Справочник!$B$11*Справочник!$B$12</f>
        <v>2800000</v>
      </c>
      <c r="P29" s="38">
        <f>Справочник!$B$11*Справочник!$B$12</f>
        <v>2800000</v>
      </c>
      <c r="Q29" s="38">
        <f>Справочник!$B$11*Справочник!$B$12</f>
        <v>2800000</v>
      </c>
      <c r="R29" s="38">
        <f>Справочник!$B$11*Справочник!$B$12</f>
        <v>2800000</v>
      </c>
      <c r="S29" s="38">
        <f>Справочник!$B$11*Справочник!$B$12</f>
        <v>2800000</v>
      </c>
      <c r="T29" s="38">
        <f>Справочник!$B$11*Справочник!$B$12</f>
        <v>2800000</v>
      </c>
      <c r="U29" s="38">
        <f>Справочник!$B$11*Справочник!$B$12</f>
        <v>2800000</v>
      </c>
      <c r="V29" s="38">
        <f>Справочник!$B$11*Справочник!$B$12</f>
        <v>2800000</v>
      </c>
      <c r="W29" s="38">
        <f>Справочник!$B$11*Справочник!$B$12</f>
        <v>2800000</v>
      </c>
      <c r="X29" s="38">
        <f>Справочник!$B$11*Справочник!$B$12</f>
        <v>2800000</v>
      </c>
      <c r="Y29" s="38">
        <f>Справочник!$B$11*Справочник!$B$12</f>
        <v>2800000</v>
      </c>
      <c r="Z29" s="38">
        <f>Справочник!$B$11*Справочник!$B$12</f>
        <v>2800000</v>
      </c>
      <c r="AA29" s="38">
        <f>Справочник!$B$11*Справочник!$B$12</f>
        <v>2800000</v>
      </c>
      <c r="AB29" s="38">
        <f>Справочник!$B$11*Справочник!$B$12</f>
        <v>2800000</v>
      </c>
      <c r="AC29" s="38">
        <f>Справочник!$B$11*Справочник!$B$12</f>
        <v>2800000</v>
      </c>
      <c r="AD29" s="38">
        <f>Справочник!$B$11*Справочник!$B$12</f>
        <v>2800000</v>
      </c>
      <c r="AE29" s="38">
        <f>Справочник!$B$11*Справочник!$B$12</f>
        <v>2800000</v>
      </c>
      <c r="AF29" s="38">
        <f>Справочник!$B$11*Справочник!$B$12</f>
        <v>2800000</v>
      </c>
      <c r="AG29" s="38">
        <f>Справочник!$B$11*Справочник!$B$12</f>
        <v>2800000</v>
      </c>
      <c r="AH29" s="38">
        <f>Справочник!$B$11*Справочник!$B$12</f>
        <v>2800000</v>
      </c>
      <c r="AI29" s="38">
        <f>Справочник!$B$11*Справочник!$B$12</f>
        <v>2800000</v>
      </c>
      <c r="AJ29" s="38">
        <f>Справочник!$B$11*Справочник!$B$12</f>
        <v>2800000</v>
      </c>
      <c r="AK29" s="38">
        <f>Справочник!$B$11*Справочник!$B$12</f>
        <v>2800000</v>
      </c>
      <c r="AL29" s="38">
        <f>Справочник!$B$11*Справочник!$B$12</f>
        <v>2800000</v>
      </c>
      <c r="AM29" s="38">
        <f>Справочник!$B$11*Справочник!$B$12</f>
        <v>2800000</v>
      </c>
      <c r="AN29" s="38">
        <f>Справочник!$B$11*Справочник!$B$12</f>
        <v>2800000</v>
      </c>
      <c r="AO29" s="38">
        <f>Справочник!$B$11*Справочник!$B$12</f>
        <v>2800000</v>
      </c>
      <c r="AP29" s="38">
        <f>Справочник!$B$11*Справочник!$B$12</f>
        <v>2800000</v>
      </c>
      <c r="AQ29" s="38">
        <f>Справочник!$B$11*Справочник!$B$12</f>
        <v>2800000</v>
      </c>
      <c r="AR29" s="38">
        <f>Справочник!$B$11*Справочник!$B$12</f>
        <v>2800000</v>
      </c>
      <c r="AS29" s="38">
        <f>Справочник!$B$11*Справочник!$B$12</f>
        <v>2800000</v>
      </c>
      <c r="AT29" s="38">
        <f>Справочник!$B$11*Справочник!$B$12</f>
        <v>2800000</v>
      </c>
      <c r="AU29" s="38">
        <f>Справочник!$B$11*Справочник!$B$12</f>
        <v>2800000</v>
      </c>
      <c r="AV29" s="38">
        <f>Справочник!$B$11*Справочник!$B$12</f>
        <v>2800000</v>
      </c>
      <c r="AW29" s="38">
        <f>Справочник!$B$11*Справочник!$B$12</f>
        <v>2800000</v>
      </c>
      <c r="AX29" s="38">
        <f>Справочник!$B$11*Справочник!$B$12</f>
        <v>2800000</v>
      </c>
      <c r="AY29" s="38">
        <f>Справочник!$B$11*Справочник!$B$12</f>
        <v>2800000</v>
      </c>
      <c r="AZ29" s="38">
        <f>Справочник!$B$11*Справочник!$B$12</f>
        <v>2800000</v>
      </c>
      <c r="BA29" s="38">
        <f>Справочник!$B$11*Справочник!$B$12</f>
        <v>2800000</v>
      </c>
      <c r="BB29" s="38">
        <f>Справочник!$B$11*Справочник!$B$12</f>
        <v>2800000</v>
      </c>
      <c r="BC29" s="38">
        <f>Справочник!$B$11*Справочник!$B$12</f>
        <v>2800000</v>
      </c>
      <c r="BD29" s="38">
        <f>Справочник!$B$11*Справочник!$B$12</f>
        <v>2800000</v>
      </c>
      <c r="BE29" s="38">
        <f>Справочник!$B$11*Справочник!$B$12</f>
        <v>2800000</v>
      </c>
      <c r="BF29" s="38">
        <f>Справочник!$B$11*Справочник!$B$12</f>
        <v>2800000</v>
      </c>
      <c r="BG29" s="38">
        <f>Справочник!$B$11*Справочник!$B$12</f>
        <v>2800000</v>
      </c>
      <c r="BH29" s="38">
        <f>Справочник!$B$11*Справочник!$B$12</f>
        <v>2800000</v>
      </c>
      <c r="BI29" s="38">
        <f>Справочник!$B$11*Справочник!$B$12</f>
        <v>2800000</v>
      </c>
    </row>
    <row r="30" spans="1:63">
      <c r="A30" s="111" t="s">
        <v>118</v>
      </c>
      <c r="B30" s="20"/>
      <c r="C30" s="20"/>
      <c r="D30" s="20"/>
      <c r="E30" s="20">
        <f>Справочник!$B$13</f>
        <v>141120</v>
      </c>
      <c r="F30" s="20">
        <f>Справочник!$B$13</f>
        <v>141120</v>
      </c>
      <c r="G30" s="20">
        <f>Справочник!$B$13</f>
        <v>141120</v>
      </c>
      <c r="H30" s="20">
        <f>Справочник!$B$13</f>
        <v>141120</v>
      </c>
      <c r="I30" s="20">
        <f>Справочник!$B$13</f>
        <v>141120</v>
      </c>
      <c r="J30" s="20">
        <f>Справочник!$B$13</f>
        <v>141120</v>
      </c>
      <c r="K30" s="20">
        <f>Справочник!$B$13</f>
        <v>141120</v>
      </c>
      <c r="L30" s="20">
        <f>Справочник!$B$13</f>
        <v>141120</v>
      </c>
      <c r="M30" s="20">
        <f>Справочник!$B$13</f>
        <v>141120</v>
      </c>
      <c r="N30" s="20">
        <f>Справочник!$B$13</f>
        <v>141120</v>
      </c>
      <c r="O30" s="20">
        <f>Справочник!$B$13</f>
        <v>141120</v>
      </c>
      <c r="P30" s="20">
        <f>Справочник!$B$13</f>
        <v>141120</v>
      </c>
      <c r="Q30" s="20">
        <f>Справочник!$B$13</f>
        <v>141120</v>
      </c>
      <c r="R30" s="20">
        <f>Справочник!$B$13</f>
        <v>141120</v>
      </c>
      <c r="S30" s="20">
        <f>Справочник!$B$13</f>
        <v>141120</v>
      </c>
      <c r="T30" s="20">
        <f>Справочник!$B$13</f>
        <v>141120</v>
      </c>
      <c r="U30" s="20">
        <f>Справочник!$B$13</f>
        <v>141120</v>
      </c>
      <c r="V30" s="20">
        <f>Справочник!$B$13</f>
        <v>141120</v>
      </c>
      <c r="W30" s="20">
        <f>Справочник!$B$13</f>
        <v>141120</v>
      </c>
      <c r="X30" s="20">
        <f>Справочник!$B$13</f>
        <v>141120</v>
      </c>
      <c r="Y30" s="20">
        <f>Справочник!$B$13</f>
        <v>141120</v>
      </c>
      <c r="Z30" s="20">
        <f>Справочник!$B$13</f>
        <v>141120</v>
      </c>
      <c r="AA30" s="20">
        <f>Справочник!$B$13</f>
        <v>141120</v>
      </c>
      <c r="AB30" s="20">
        <f>Справочник!$B$13</f>
        <v>141120</v>
      </c>
      <c r="AC30" s="20">
        <f>Справочник!$B$13</f>
        <v>141120</v>
      </c>
      <c r="AD30" s="20">
        <f>Справочник!$B$13</f>
        <v>141120</v>
      </c>
      <c r="AE30" s="20">
        <f>Справочник!$B$13</f>
        <v>141120</v>
      </c>
      <c r="AF30" s="20">
        <f>Справочник!$B$13</f>
        <v>141120</v>
      </c>
      <c r="AG30" s="20">
        <f>Справочник!$B$13</f>
        <v>141120</v>
      </c>
      <c r="AH30" s="20">
        <f>Справочник!$B$13</f>
        <v>141120</v>
      </c>
      <c r="AI30" s="20">
        <f>Справочник!$B$13</f>
        <v>141120</v>
      </c>
      <c r="AJ30" s="20">
        <f>Справочник!$B$13</f>
        <v>141120</v>
      </c>
      <c r="AK30" s="20">
        <f>Справочник!$B$13</f>
        <v>141120</v>
      </c>
      <c r="AL30" s="20">
        <f>Справочник!$B$13</f>
        <v>141120</v>
      </c>
      <c r="AM30" s="20">
        <f>Справочник!$B$13</f>
        <v>141120</v>
      </c>
      <c r="AN30" s="20">
        <f>Справочник!$B$13</f>
        <v>141120</v>
      </c>
      <c r="AO30" s="20">
        <f>Справочник!$B$13</f>
        <v>141120</v>
      </c>
      <c r="AP30" s="20">
        <f>Справочник!$B$13</f>
        <v>141120</v>
      </c>
      <c r="AQ30" s="20">
        <f>Справочник!$B$13</f>
        <v>141120</v>
      </c>
      <c r="AR30" s="20">
        <f>Справочник!$B$13</f>
        <v>141120</v>
      </c>
      <c r="AS30" s="20">
        <f>Справочник!$B$13</f>
        <v>141120</v>
      </c>
      <c r="AT30" s="20">
        <f>Справочник!$B$13</f>
        <v>141120</v>
      </c>
      <c r="AU30" s="20">
        <f>Справочник!$B$13</f>
        <v>141120</v>
      </c>
      <c r="AV30" s="20">
        <f>Справочник!$B$13</f>
        <v>141120</v>
      </c>
      <c r="AW30" s="20">
        <f>Справочник!$B$13</f>
        <v>141120</v>
      </c>
      <c r="AX30" s="20">
        <f>Справочник!$B$13</f>
        <v>141120</v>
      </c>
      <c r="AY30" s="20">
        <f>Справочник!$B$13</f>
        <v>141120</v>
      </c>
      <c r="AZ30" s="20">
        <f>Справочник!$B$13</f>
        <v>141120</v>
      </c>
      <c r="BA30" s="20">
        <f>Справочник!$B$13</f>
        <v>141120</v>
      </c>
      <c r="BB30" s="20">
        <f>Справочник!$B$13</f>
        <v>141120</v>
      </c>
      <c r="BC30" s="20">
        <f>Справочник!$B$13</f>
        <v>141120</v>
      </c>
      <c r="BD30" s="20">
        <f>Справочник!$B$13</f>
        <v>141120</v>
      </c>
      <c r="BE30" s="20">
        <f>Справочник!$B$13</f>
        <v>141120</v>
      </c>
      <c r="BF30" s="20">
        <f>Справочник!$B$13</f>
        <v>141120</v>
      </c>
      <c r="BG30" s="20">
        <f>Справочник!$B$13</f>
        <v>141120</v>
      </c>
      <c r="BH30" s="20">
        <f>Справочник!$B$13</f>
        <v>141120</v>
      </c>
      <c r="BI30" s="20">
        <f>Справочник!$B$13</f>
        <v>141120</v>
      </c>
    </row>
    <row r="31" spans="1:63">
      <c r="A31" s="13" t="s">
        <v>120</v>
      </c>
      <c r="B31" s="21">
        <v>15000</v>
      </c>
      <c r="C31" s="21">
        <f t="shared" ref="C31:AJ31" si="14">B31</f>
        <v>15000</v>
      </c>
      <c r="D31" s="21">
        <f t="shared" si="14"/>
        <v>15000</v>
      </c>
      <c r="E31" s="21">
        <f t="shared" si="14"/>
        <v>15000</v>
      </c>
      <c r="F31" s="21">
        <f t="shared" si="14"/>
        <v>15000</v>
      </c>
      <c r="G31" s="21">
        <f t="shared" si="14"/>
        <v>15000</v>
      </c>
      <c r="H31" s="21">
        <f t="shared" si="14"/>
        <v>15000</v>
      </c>
      <c r="I31" s="21">
        <f t="shared" si="14"/>
        <v>15000</v>
      </c>
      <c r="J31" s="21">
        <f t="shared" si="14"/>
        <v>15000</v>
      </c>
      <c r="K31" s="21">
        <f t="shared" si="14"/>
        <v>15000</v>
      </c>
      <c r="L31" s="21">
        <f t="shared" si="14"/>
        <v>15000</v>
      </c>
      <c r="M31" s="21">
        <f t="shared" si="14"/>
        <v>15000</v>
      </c>
      <c r="N31" s="21">
        <f t="shared" si="14"/>
        <v>15000</v>
      </c>
      <c r="O31" s="21">
        <f t="shared" si="14"/>
        <v>15000</v>
      </c>
      <c r="P31" s="21">
        <f t="shared" si="14"/>
        <v>15000</v>
      </c>
      <c r="Q31" s="21">
        <f t="shared" si="14"/>
        <v>15000</v>
      </c>
      <c r="R31" s="21">
        <f t="shared" si="14"/>
        <v>15000</v>
      </c>
      <c r="S31" s="21">
        <f t="shared" si="14"/>
        <v>15000</v>
      </c>
      <c r="T31" s="21">
        <f t="shared" si="14"/>
        <v>15000</v>
      </c>
      <c r="U31" s="21">
        <f t="shared" si="14"/>
        <v>15000</v>
      </c>
      <c r="V31" s="21">
        <f t="shared" si="14"/>
        <v>15000</v>
      </c>
      <c r="W31" s="21">
        <f t="shared" si="14"/>
        <v>15000</v>
      </c>
      <c r="X31" s="21">
        <f t="shared" si="14"/>
        <v>15000</v>
      </c>
      <c r="Y31" s="21">
        <f t="shared" si="14"/>
        <v>15000</v>
      </c>
      <c r="Z31" s="21">
        <f t="shared" si="14"/>
        <v>15000</v>
      </c>
      <c r="AA31" s="21">
        <f t="shared" si="14"/>
        <v>15000</v>
      </c>
      <c r="AB31" s="21">
        <f t="shared" si="14"/>
        <v>15000</v>
      </c>
      <c r="AC31" s="21">
        <f t="shared" si="14"/>
        <v>15000</v>
      </c>
      <c r="AD31" s="21">
        <f t="shared" si="14"/>
        <v>15000</v>
      </c>
      <c r="AE31" s="21">
        <f t="shared" si="14"/>
        <v>15000</v>
      </c>
      <c r="AF31" s="21">
        <f t="shared" si="14"/>
        <v>15000</v>
      </c>
      <c r="AG31" s="21">
        <f t="shared" si="14"/>
        <v>15000</v>
      </c>
      <c r="AH31" s="21">
        <f t="shared" si="14"/>
        <v>15000</v>
      </c>
      <c r="AI31" s="21">
        <f t="shared" si="14"/>
        <v>15000</v>
      </c>
      <c r="AJ31" s="21">
        <f t="shared" si="14"/>
        <v>15000</v>
      </c>
      <c r="AK31" s="21">
        <f t="shared" ref="AK31" si="15">AJ31</f>
        <v>15000</v>
      </c>
      <c r="AL31" s="21">
        <f t="shared" ref="AL31" si="16">AK31</f>
        <v>15000</v>
      </c>
      <c r="AM31" s="21">
        <f t="shared" ref="AM31" si="17">AL31</f>
        <v>15000</v>
      </c>
      <c r="AN31" s="21">
        <f t="shared" ref="AN31" si="18">AM31</f>
        <v>15000</v>
      </c>
      <c r="AO31" s="21">
        <f t="shared" ref="AO31" si="19">AN31</f>
        <v>15000</v>
      </c>
      <c r="AP31" s="21">
        <f t="shared" ref="AP31" si="20">AO31</f>
        <v>15000</v>
      </c>
      <c r="AQ31" s="21">
        <f t="shared" ref="AQ31" si="21">AP31</f>
        <v>15000</v>
      </c>
      <c r="AR31" s="21">
        <f t="shared" ref="AR31" si="22">AQ31</f>
        <v>15000</v>
      </c>
      <c r="AS31" s="21">
        <f t="shared" ref="AS31" si="23">AR31</f>
        <v>15000</v>
      </c>
      <c r="AT31" s="21">
        <f t="shared" ref="AT31" si="24">AS31</f>
        <v>15000</v>
      </c>
      <c r="AU31" s="21">
        <f t="shared" ref="AU31" si="25">AT31</f>
        <v>15000</v>
      </c>
      <c r="AV31" s="21">
        <f t="shared" ref="AV31" si="26">AU31</f>
        <v>15000</v>
      </c>
      <c r="AW31" s="21">
        <f t="shared" ref="AW31" si="27">AV31</f>
        <v>15000</v>
      </c>
      <c r="AX31" s="21">
        <f t="shared" ref="AX31" si="28">AW31</f>
        <v>15000</v>
      </c>
      <c r="AY31" s="21">
        <f t="shared" ref="AY31" si="29">AX31</f>
        <v>15000</v>
      </c>
      <c r="AZ31" s="21">
        <f t="shared" ref="AZ31" si="30">AY31</f>
        <v>15000</v>
      </c>
      <c r="BA31" s="21">
        <f t="shared" ref="BA31" si="31">AZ31</f>
        <v>15000</v>
      </c>
      <c r="BB31" s="21">
        <f t="shared" ref="BB31" si="32">BA31</f>
        <v>15000</v>
      </c>
      <c r="BC31" s="21">
        <f t="shared" ref="BC31" si="33">BB31</f>
        <v>15000</v>
      </c>
      <c r="BD31" s="21">
        <f t="shared" ref="BD31" si="34">BC31</f>
        <v>15000</v>
      </c>
      <c r="BE31" s="21">
        <f t="shared" ref="BE31" si="35">BD31</f>
        <v>15000</v>
      </c>
      <c r="BF31" s="21">
        <f t="shared" ref="BF31" si="36">BE31</f>
        <v>15000</v>
      </c>
      <c r="BG31" s="21">
        <f t="shared" ref="BG31" si="37">BF31</f>
        <v>15000</v>
      </c>
      <c r="BH31" s="21">
        <f t="shared" ref="BH31" si="38">BG31</f>
        <v>15000</v>
      </c>
      <c r="BI31" s="21">
        <f t="shared" ref="BI31" si="39">BH31</f>
        <v>15000</v>
      </c>
    </row>
    <row r="32" spans="1:63" s="8" customFormat="1">
      <c r="A32" s="13" t="s">
        <v>121</v>
      </c>
      <c r="B32" s="21">
        <f>SUM(Справочник!$B$36:$B$39)</f>
        <v>39200</v>
      </c>
      <c r="C32" s="21">
        <f>SUM(Справочник!$B$36:$B$39)</f>
        <v>39200</v>
      </c>
      <c r="D32" s="21">
        <f>SUM(Справочник!$B$36:$B$39)</f>
        <v>39200</v>
      </c>
      <c r="E32" s="21">
        <f>SUM(Справочник!$B$36:$B$39)</f>
        <v>39200</v>
      </c>
      <c r="F32" s="21">
        <f>SUM(Справочник!$B$36:$B$39)</f>
        <v>39200</v>
      </c>
      <c r="G32" s="21">
        <f>SUM(Справочник!$B$36:$B$39)</f>
        <v>39200</v>
      </c>
      <c r="H32" s="21">
        <f>SUM(Справочник!$B$36:$B$39)</f>
        <v>39200</v>
      </c>
      <c r="I32" s="21">
        <f>SUM(Справочник!$B$36:$B$39)</f>
        <v>39200</v>
      </c>
      <c r="J32" s="21">
        <f>SUM(Справочник!$B$36:$B$39)</f>
        <v>39200</v>
      </c>
      <c r="K32" s="21">
        <f>SUM(Справочник!$B$36:$B$39)</f>
        <v>39200</v>
      </c>
      <c r="L32" s="21">
        <f>SUM(Справочник!$B$36:$B$39)</f>
        <v>39200</v>
      </c>
      <c r="M32" s="21">
        <f>SUM(Справочник!$B$36:$B$39)</f>
        <v>39200</v>
      </c>
      <c r="N32" s="21">
        <f>SUM(Справочник!$B$36:$B$39)</f>
        <v>39200</v>
      </c>
      <c r="O32" s="21">
        <f>SUM(Справочник!$B$36:$B$39)</f>
        <v>39200</v>
      </c>
      <c r="P32" s="21">
        <f>SUM(Справочник!$B$36:$B$39)</f>
        <v>39200</v>
      </c>
      <c r="Q32" s="21">
        <f>SUM(Справочник!$B$36:$B$39)</f>
        <v>39200</v>
      </c>
      <c r="R32" s="21">
        <f>SUM(Справочник!$B$36:$B$39)</f>
        <v>39200</v>
      </c>
      <c r="S32" s="21">
        <f>SUM(Справочник!$B$36:$B$39)</f>
        <v>39200</v>
      </c>
      <c r="T32" s="21">
        <f>SUM(Справочник!$B$36:$B$39)</f>
        <v>39200</v>
      </c>
      <c r="U32" s="21">
        <f>SUM(Справочник!$B$36:$B$39)</f>
        <v>39200</v>
      </c>
      <c r="V32" s="21">
        <f>SUM(Справочник!$B$36:$B$39)</f>
        <v>39200</v>
      </c>
      <c r="W32" s="21">
        <f>SUM(Справочник!$B$36:$B$39)</f>
        <v>39200</v>
      </c>
      <c r="X32" s="21">
        <f>SUM(Справочник!$B$36:$B$39)</f>
        <v>39200</v>
      </c>
      <c r="Y32" s="21">
        <f>SUM(Справочник!$B$36:$B$39)</f>
        <v>39200</v>
      </c>
      <c r="Z32" s="21">
        <f>SUM(Справочник!$B$36:$B$39)</f>
        <v>39200</v>
      </c>
      <c r="AA32" s="21">
        <f>SUM(Справочник!$B$36:$B$39)</f>
        <v>39200</v>
      </c>
      <c r="AB32" s="21">
        <f>SUM(Справочник!$B$36:$B$39)</f>
        <v>39200</v>
      </c>
      <c r="AC32" s="21">
        <f>SUM(Справочник!$B$36:$B$39)</f>
        <v>39200</v>
      </c>
      <c r="AD32" s="21">
        <f>SUM(Справочник!$B$36:$B$39)</f>
        <v>39200</v>
      </c>
      <c r="AE32" s="21">
        <f>SUM(Справочник!$B$36:$B$39)</f>
        <v>39200</v>
      </c>
      <c r="AF32" s="21">
        <f>SUM(Справочник!$B$36:$B$39)</f>
        <v>39200</v>
      </c>
      <c r="AG32" s="21">
        <f>SUM(Справочник!$B$36:$B$39)</f>
        <v>39200</v>
      </c>
      <c r="AH32" s="21">
        <f>SUM(Справочник!$B$36:$B$39)</f>
        <v>39200</v>
      </c>
      <c r="AI32" s="21">
        <f>SUM(Справочник!$B$36:$B$39)</f>
        <v>39200</v>
      </c>
      <c r="AJ32" s="21">
        <f>SUM(Справочник!$B$36:$B$39)</f>
        <v>39200</v>
      </c>
      <c r="AK32" s="21">
        <f>SUM(Справочник!$B$36:$B$39)</f>
        <v>39200</v>
      </c>
      <c r="AL32" s="21">
        <f>SUM(Справочник!$B$36:$B$39)</f>
        <v>39200</v>
      </c>
      <c r="AM32" s="21">
        <f>SUM(Справочник!$B$36:$B$39)</f>
        <v>39200</v>
      </c>
      <c r="AN32" s="21">
        <f>SUM(Справочник!$B$36:$B$39)</f>
        <v>39200</v>
      </c>
      <c r="AO32" s="21">
        <f>SUM(Справочник!$B$36:$B$39)</f>
        <v>39200</v>
      </c>
      <c r="AP32" s="21">
        <f>SUM(Справочник!$B$36:$B$39)</f>
        <v>39200</v>
      </c>
      <c r="AQ32" s="21">
        <f>SUM(Справочник!$B$36:$B$39)</f>
        <v>39200</v>
      </c>
      <c r="AR32" s="21">
        <f>SUM(Справочник!$B$36:$B$39)</f>
        <v>39200</v>
      </c>
      <c r="AS32" s="21">
        <f>SUM(Справочник!$B$36:$B$39)</f>
        <v>39200</v>
      </c>
      <c r="AT32" s="21">
        <f>SUM(Справочник!$B$36:$B$39)</f>
        <v>39200</v>
      </c>
      <c r="AU32" s="21">
        <f>SUM(Справочник!$B$36:$B$39)</f>
        <v>39200</v>
      </c>
      <c r="AV32" s="21">
        <f>SUM(Справочник!$B$36:$B$39)</f>
        <v>39200</v>
      </c>
      <c r="AW32" s="21">
        <f>SUM(Справочник!$B$36:$B$39)</f>
        <v>39200</v>
      </c>
      <c r="AX32" s="21">
        <f>SUM(Справочник!$B$36:$B$39)</f>
        <v>39200</v>
      </c>
      <c r="AY32" s="21">
        <f>SUM(Справочник!$B$36:$B$39)</f>
        <v>39200</v>
      </c>
      <c r="AZ32" s="21">
        <f>SUM(Справочник!$B$36:$B$39)</f>
        <v>39200</v>
      </c>
      <c r="BA32" s="21">
        <f>SUM(Справочник!$B$36:$B$39)</f>
        <v>39200</v>
      </c>
      <c r="BB32" s="21">
        <f>SUM(Справочник!$B$36:$B$39)</f>
        <v>39200</v>
      </c>
      <c r="BC32" s="21">
        <f>SUM(Справочник!$B$36:$B$39)</f>
        <v>39200</v>
      </c>
      <c r="BD32" s="21">
        <f>SUM(Справочник!$B$36:$B$39)</f>
        <v>39200</v>
      </c>
      <c r="BE32" s="21">
        <f>SUM(Справочник!$B$36:$B$39)</f>
        <v>39200</v>
      </c>
      <c r="BF32" s="21">
        <f>SUM(Справочник!$B$36:$B$39)</f>
        <v>39200</v>
      </c>
      <c r="BG32" s="21">
        <f>SUM(Справочник!$B$36:$B$39)</f>
        <v>39200</v>
      </c>
      <c r="BH32" s="21">
        <f>SUM(Справочник!$B$36:$B$39)</f>
        <v>39200</v>
      </c>
      <c r="BI32" s="21">
        <f>SUM(Справочник!$B$36:$B$39)</f>
        <v>39200</v>
      </c>
      <c r="BJ32" s="7"/>
    </row>
    <row r="33" spans="1:68" s="8" customFormat="1" ht="15" thickBot="1">
      <c r="A33" s="14" t="s">
        <v>122</v>
      </c>
      <c r="B33" s="22">
        <v>117600</v>
      </c>
      <c r="C33" s="22">
        <v>117600</v>
      </c>
      <c r="D33" s="22">
        <v>117600</v>
      </c>
      <c r="E33" s="22">
        <v>117600</v>
      </c>
      <c r="F33" s="22">
        <v>117600</v>
      </c>
      <c r="G33" s="22">
        <v>117600</v>
      </c>
      <c r="H33" s="22">
        <v>117600</v>
      </c>
      <c r="I33" s="22">
        <v>117600</v>
      </c>
      <c r="J33" s="22">
        <v>117600</v>
      </c>
      <c r="K33" s="22">
        <v>117600</v>
      </c>
      <c r="L33" s="22">
        <v>117600</v>
      </c>
      <c r="M33" s="22">
        <v>117600</v>
      </c>
      <c r="N33" s="22">
        <v>117600</v>
      </c>
      <c r="O33" s="22">
        <v>117600</v>
      </c>
      <c r="P33" s="22">
        <v>117600</v>
      </c>
      <c r="Q33" s="22">
        <v>117600</v>
      </c>
      <c r="R33" s="22">
        <v>117600</v>
      </c>
      <c r="S33" s="22">
        <v>117600</v>
      </c>
      <c r="T33" s="22">
        <v>117600</v>
      </c>
      <c r="U33" s="22">
        <v>117600</v>
      </c>
      <c r="V33" s="22">
        <v>117600</v>
      </c>
      <c r="W33" s="22">
        <v>117600</v>
      </c>
      <c r="X33" s="22">
        <v>117600</v>
      </c>
      <c r="Y33" s="22">
        <v>117600</v>
      </c>
      <c r="Z33" s="22">
        <v>117600</v>
      </c>
      <c r="AA33" s="22">
        <v>117600</v>
      </c>
      <c r="AB33" s="22">
        <v>117600</v>
      </c>
      <c r="AC33" s="22">
        <v>117600</v>
      </c>
      <c r="AD33" s="22">
        <v>117600</v>
      </c>
      <c r="AE33" s="22">
        <v>117600</v>
      </c>
      <c r="AF33" s="22">
        <v>117600</v>
      </c>
      <c r="AG33" s="22">
        <v>117600</v>
      </c>
      <c r="AH33" s="22">
        <v>117600</v>
      </c>
      <c r="AI33" s="22">
        <v>117600</v>
      </c>
      <c r="AJ33" s="22">
        <v>117600</v>
      </c>
      <c r="AK33" s="22">
        <v>117601</v>
      </c>
      <c r="AL33" s="22">
        <v>117602</v>
      </c>
      <c r="AM33" s="22">
        <v>117603</v>
      </c>
      <c r="AN33" s="22">
        <v>117604</v>
      </c>
      <c r="AO33" s="22">
        <v>117605</v>
      </c>
      <c r="AP33" s="22">
        <v>117606</v>
      </c>
      <c r="AQ33" s="22">
        <v>117607</v>
      </c>
      <c r="AR33" s="22">
        <v>117608</v>
      </c>
      <c r="AS33" s="22">
        <v>117609</v>
      </c>
      <c r="AT33" s="22">
        <v>117610</v>
      </c>
      <c r="AU33" s="22">
        <v>117611</v>
      </c>
      <c r="AV33" s="22">
        <v>117612</v>
      </c>
      <c r="AW33" s="22">
        <v>117613</v>
      </c>
      <c r="AX33" s="22">
        <v>117614</v>
      </c>
      <c r="AY33" s="22">
        <v>117615</v>
      </c>
      <c r="AZ33" s="22">
        <v>117616</v>
      </c>
      <c r="BA33" s="22">
        <v>117617</v>
      </c>
      <c r="BB33" s="22">
        <v>117618</v>
      </c>
      <c r="BC33" s="22">
        <v>117619</v>
      </c>
      <c r="BD33" s="22">
        <v>117620</v>
      </c>
      <c r="BE33" s="22">
        <v>117621</v>
      </c>
      <c r="BF33" s="22">
        <v>117622</v>
      </c>
      <c r="BG33" s="22">
        <v>117623</v>
      </c>
      <c r="BH33" s="22">
        <v>117624</v>
      </c>
      <c r="BI33" s="22">
        <v>117625</v>
      </c>
      <c r="BJ33" s="7"/>
    </row>
    <row r="34" spans="1:68" s="8" customFormat="1" ht="15" thickBot="1">
      <c r="A34" s="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7"/>
    </row>
    <row r="35" spans="1:68" ht="15" thickBot="1">
      <c r="A35" s="126" t="s">
        <v>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</row>
    <row r="36" spans="1:68">
      <c r="A36" s="112" t="s">
        <v>108</v>
      </c>
      <c r="B36" s="26">
        <f>-Инвестиции!C10</f>
        <v>-100000000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</row>
    <row r="37" spans="1:68">
      <c r="A37" s="113" t="s">
        <v>109</v>
      </c>
      <c r="B37" s="16">
        <f>B8</f>
        <v>7512760</v>
      </c>
      <c r="C37" s="16">
        <f t="shared" ref="C37:AJ37" si="40">C8</f>
        <v>5409312</v>
      </c>
      <c r="D37" s="16">
        <f t="shared" si="40"/>
        <v>6125864.0000000009</v>
      </c>
      <c r="E37" s="16">
        <f t="shared" si="40"/>
        <v>6842416</v>
      </c>
      <c r="F37" s="16">
        <f t="shared" si="40"/>
        <v>7738968</v>
      </c>
      <c r="G37" s="16">
        <f t="shared" si="40"/>
        <v>7966669.333333333</v>
      </c>
      <c r="H37" s="16">
        <f t="shared" si="40"/>
        <v>8933221.333333334</v>
      </c>
      <c r="I37" s="16">
        <f t="shared" si="40"/>
        <v>9649773.333333334</v>
      </c>
      <c r="J37" s="16">
        <f t="shared" si="40"/>
        <v>10057474.666666666</v>
      </c>
      <c r="K37" s="16">
        <f t="shared" si="40"/>
        <v>11024026.666666666</v>
      </c>
      <c r="L37" s="16">
        <f t="shared" si="40"/>
        <v>11740578.666666666</v>
      </c>
      <c r="M37" s="16">
        <f t="shared" si="40"/>
        <v>15911040</v>
      </c>
      <c r="N37" s="16">
        <f t="shared" si="40"/>
        <v>16161040</v>
      </c>
      <c r="O37" s="16">
        <f t="shared" si="40"/>
        <v>16161040</v>
      </c>
      <c r="P37" s="16">
        <f t="shared" si="40"/>
        <v>16161040</v>
      </c>
      <c r="Q37" s="16">
        <f t="shared" si="40"/>
        <v>16411040</v>
      </c>
      <c r="R37" s="16">
        <f t="shared" si="40"/>
        <v>15911040</v>
      </c>
      <c r="S37" s="16">
        <f t="shared" si="40"/>
        <v>15661040</v>
      </c>
      <c r="T37" s="16">
        <f t="shared" si="40"/>
        <v>15661040</v>
      </c>
      <c r="U37" s="16">
        <f t="shared" si="40"/>
        <v>15661040</v>
      </c>
      <c r="V37" s="16">
        <f t="shared" si="40"/>
        <v>15661040</v>
      </c>
      <c r="W37" s="16">
        <f t="shared" si="40"/>
        <v>15661040</v>
      </c>
      <c r="X37" s="16">
        <f t="shared" si="40"/>
        <v>15661040</v>
      </c>
      <c r="Y37" s="16">
        <f t="shared" si="40"/>
        <v>15661040</v>
      </c>
      <c r="Z37" s="16">
        <f t="shared" si="40"/>
        <v>15661040</v>
      </c>
      <c r="AA37" s="16">
        <f t="shared" si="40"/>
        <v>15661040</v>
      </c>
      <c r="AB37" s="16">
        <f t="shared" si="40"/>
        <v>15661040</v>
      </c>
      <c r="AC37" s="16">
        <f t="shared" si="40"/>
        <v>15661040</v>
      </c>
      <c r="AD37" s="16">
        <f t="shared" si="40"/>
        <v>15661040</v>
      </c>
      <c r="AE37" s="16">
        <f t="shared" si="40"/>
        <v>15661040</v>
      </c>
      <c r="AF37" s="16">
        <f t="shared" si="40"/>
        <v>15661040</v>
      </c>
      <c r="AG37" s="16">
        <f t="shared" si="40"/>
        <v>15661040</v>
      </c>
      <c r="AH37" s="16">
        <f t="shared" si="40"/>
        <v>15661040</v>
      </c>
      <c r="AI37" s="16">
        <f t="shared" si="40"/>
        <v>15661040</v>
      </c>
      <c r="AJ37" s="16">
        <f t="shared" si="40"/>
        <v>15661040</v>
      </c>
      <c r="AK37" s="16">
        <f t="shared" ref="AK37:BI37" si="41">AK8</f>
        <v>15661040</v>
      </c>
      <c r="AL37" s="16">
        <f t="shared" si="41"/>
        <v>15661040</v>
      </c>
      <c r="AM37" s="16">
        <f t="shared" si="41"/>
        <v>15661040</v>
      </c>
      <c r="AN37" s="16">
        <f t="shared" si="41"/>
        <v>15661040</v>
      </c>
      <c r="AO37" s="16">
        <f t="shared" si="41"/>
        <v>15661040</v>
      </c>
      <c r="AP37" s="16">
        <f t="shared" si="41"/>
        <v>15661040</v>
      </c>
      <c r="AQ37" s="16">
        <f t="shared" si="41"/>
        <v>15661040</v>
      </c>
      <c r="AR37" s="16">
        <f t="shared" si="41"/>
        <v>15661040</v>
      </c>
      <c r="AS37" s="16">
        <f t="shared" si="41"/>
        <v>15661040</v>
      </c>
      <c r="AT37" s="16">
        <f t="shared" si="41"/>
        <v>15661040</v>
      </c>
      <c r="AU37" s="16">
        <f t="shared" si="41"/>
        <v>15661040</v>
      </c>
      <c r="AV37" s="16">
        <f t="shared" si="41"/>
        <v>15661040</v>
      </c>
      <c r="AW37" s="16">
        <f t="shared" si="41"/>
        <v>15661040</v>
      </c>
      <c r="AX37" s="16">
        <f t="shared" si="41"/>
        <v>15661040</v>
      </c>
      <c r="AY37" s="16">
        <f t="shared" si="41"/>
        <v>15661040</v>
      </c>
      <c r="AZ37" s="16">
        <f t="shared" si="41"/>
        <v>15661040</v>
      </c>
      <c r="BA37" s="16">
        <f t="shared" si="41"/>
        <v>15661040</v>
      </c>
      <c r="BB37" s="16">
        <f t="shared" si="41"/>
        <v>15661040</v>
      </c>
      <c r="BC37" s="16">
        <f t="shared" si="41"/>
        <v>15661040</v>
      </c>
      <c r="BD37" s="16">
        <f t="shared" si="41"/>
        <v>15661040</v>
      </c>
      <c r="BE37" s="16">
        <f t="shared" si="41"/>
        <v>15661040</v>
      </c>
      <c r="BF37" s="16">
        <f t="shared" si="41"/>
        <v>15661040</v>
      </c>
      <c r="BG37" s="16">
        <f t="shared" si="41"/>
        <v>15661040</v>
      </c>
      <c r="BH37" s="16">
        <f t="shared" si="41"/>
        <v>15661040</v>
      </c>
      <c r="BI37" s="16">
        <f t="shared" si="41"/>
        <v>15661040</v>
      </c>
    </row>
    <row r="38" spans="1:68">
      <c r="A38" s="113" t="s">
        <v>110</v>
      </c>
      <c r="B38" s="16">
        <f>-B14</f>
        <v>-1847000</v>
      </c>
      <c r="C38" s="16">
        <f t="shared" ref="C38:AJ38" si="42">-C14</f>
        <v>-3177500</v>
      </c>
      <c r="D38" s="16">
        <f>-D14</f>
        <v>-5299700</v>
      </c>
      <c r="E38" s="16">
        <f t="shared" si="42"/>
        <v>-5500820</v>
      </c>
      <c r="F38" s="16">
        <f t="shared" si="42"/>
        <v>-8360820</v>
      </c>
      <c r="G38" s="16">
        <f t="shared" si="42"/>
        <v>-8400820</v>
      </c>
      <c r="H38" s="16">
        <f t="shared" si="42"/>
        <v>-8460820</v>
      </c>
      <c r="I38" s="16">
        <f t="shared" si="42"/>
        <v>-8520820</v>
      </c>
      <c r="J38" s="16">
        <f t="shared" si="42"/>
        <v>-8560820</v>
      </c>
      <c r="K38" s="16">
        <f t="shared" si="42"/>
        <v>-8620820</v>
      </c>
      <c r="L38" s="16">
        <f t="shared" si="42"/>
        <v>-8680820</v>
      </c>
      <c r="M38" s="16">
        <f t="shared" si="42"/>
        <v>-9020820</v>
      </c>
      <c r="N38" s="16">
        <f t="shared" si="42"/>
        <v>-9020820</v>
      </c>
      <c r="O38" s="16">
        <f t="shared" si="42"/>
        <v>-9020820</v>
      </c>
      <c r="P38" s="16">
        <f t="shared" si="42"/>
        <v>-9020820</v>
      </c>
      <c r="Q38" s="16">
        <f t="shared" si="42"/>
        <v>-9020820</v>
      </c>
      <c r="R38" s="16">
        <f t="shared" si="42"/>
        <v>-9020820</v>
      </c>
      <c r="S38" s="16">
        <f t="shared" si="42"/>
        <v>-9020820</v>
      </c>
      <c r="T38" s="16">
        <f t="shared" si="42"/>
        <v>-9020820</v>
      </c>
      <c r="U38" s="16">
        <f t="shared" si="42"/>
        <v>-9020820</v>
      </c>
      <c r="V38" s="16">
        <f t="shared" si="42"/>
        <v>-9020820</v>
      </c>
      <c r="W38" s="16">
        <f t="shared" si="42"/>
        <v>-9020820</v>
      </c>
      <c r="X38" s="16">
        <f t="shared" si="42"/>
        <v>-9020820</v>
      </c>
      <c r="Y38" s="16">
        <f t="shared" si="42"/>
        <v>-9020820</v>
      </c>
      <c r="Z38" s="16">
        <f t="shared" si="42"/>
        <v>-9568956.4000000004</v>
      </c>
      <c r="AA38" s="16">
        <f t="shared" si="42"/>
        <v>-9568956.4000000004</v>
      </c>
      <c r="AB38" s="16">
        <f t="shared" si="42"/>
        <v>-9568956.4000000004</v>
      </c>
      <c r="AC38" s="16">
        <f t="shared" si="42"/>
        <v>-9568956.4000000004</v>
      </c>
      <c r="AD38" s="16">
        <f t="shared" si="42"/>
        <v>-9568956.4000000004</v>
      </c>
      <c r="AE38" s="16">
        <f t="shared" si="42"/>
        <v>-9568956.4000000004</v>
      </c>
      <c r="AF38" s="16">
        <f t="shared" si="42"/>
        <v>-9568956.4000000004</v>
      </c>
      <c r="AG38" s="16">
        <f t="shared" si="42"/>
        <v>-9568956.4000000004</v>
      </c>
      <c r="AH38" s="16">
        <f t="shared" si="42"/>
        <v>-9568956.4000000004</v>
      </c>
      <c r="AI38" s="16">
        <f t="shared" si="42"/>
        <v>-9568956.4000000004</v>
      </c>
      <c r="AJ38" s="16">
        <f t="shared" si="42"/>
        <v>-9568956.4000000004</v>
      </c>
      <c r="AK38" s="16">
        <f t="shared" ref="AK38:BI38" si="43">-AK14</f>
        <v>-9568957.4000000004</v>
      </c>
      <c r="AL38" s="16">
        <f t="shared" si="43"/>
        <v>-9568958.4000000004</v>
      </c>
      <c r="AM38" s="16">
        <f t="shared" si="43"/>
        <v>-9568959.4000000004</v>
      </c>
      <c r="AN38" s="16">
        <f t="shared" si="43"/>
        <v>-9568960.4000000004</v>
      </c>
      <c r="AO38" s="16">
        <f t="shared" si="43"/>
        <v>-9568961.4000000004</v>
      </c>
      <c r="AP38" s="16">
        <f t="shared" si="43"/>
        <v>-9568962.4000000004</v>
      </c>
      <c r="AQ38" s="16">
        <f t="shared" si="43"/>
        <v>-9568963.4000000004</v>
      </c>
      <c r="AR38" s="16">
        <f t="shared" si="43"/>
        <v>-9568964.4000000004</v>
      </c>
      <c r="AS38" s="16">
        <f t="shared" si="43"/>
        <v>-9568965.4000000004</v>
      </c>
      <c r="AT38" s="16">
        <f t="shared" si="43"/>
        <v>-9568966.4000000004</v>
      </c>
      <c r="AU38" s="16">
        <f t="shared" si="43"/>
        <v>-9568967.4000000004</v>
      </c>
      <c r="AV38" s="16">
        <f t="shared" si="43"/>
        <v>-9568968.4000000004</v>
      </c>
      <c r="AW38" s="16">
        <f t="shared" si="43"/>
        <v>-9568969.4000000004</v>
      </c>
      <c r="AX38" s="16">
        <f t="shared" si="43"/>
        <v>-9568970.4000000004</v>
      </c>
      <c r="AY38" s="16">
        <f t="shared" si="43"/>
        <v>-9568971.4000000004</v>
      </c>
      <c r="AZ38" s="16">
        <f t="shared" si="43"/>
        <v>-9568972.4000000004</v>
      </c>
      <c r="BA38" s="16">
        <f t="shared" si="43"/>
        <v>-9568973.4000000004</v>
      </c>
      <c r="BB38" s="16">
        <f t="shared" si="43"/>
        <v>-9568974.4000000004</v>
      </c>
      <c r="BC38" s="16">
        <f t="shared" si="43"/>
        <v>-9568975.4000000004</v>
      </c>
      <c r="BD38" s="16">
        <f t="shared" si="43"/>
        <v>-9568976.4000000004</v>
      </c>
      <c r="BE38" s="16">
        <f t="shared" si="43"/>
        <v>-9568977.4000000004</v>
      </c>
      <c r="BF38" s="16">
        <f t="shared" si="43"/>
        <v>-9568978.4000000004</v>
      </c>
      <c r="BG38" s="16">
        <f t="shared" si="43"/>
        <v>-9568979.4000000004</v>
      </c>
      <c r="BH38" s="16">
        <f t="shared" si="43"/>
        <v>-9568980.4000000004</v>
      </c>
      <c r="BI38" s="16">
        <f t="shared" si="43"/>
        <v>-9568981.4000000004</v>
      </c>
    </row>
    <row r="39" spans="1:68">
      <c r="A39" s="113" t="s">
        <v>111</v>
      </c>
      <c r="B39" s="118">
        <f>B37+B38</f>
        <v>5665760</v>
      </c>
      <c r="C39" s="118">
        <f t="shared" ref="C39:AJ39" si="44">C37+C38</f>
        <v>2231812</v>
      </c>
      <c r="D39" s="118">
        <f t="shared" si="44"/>
        <v>826164.00000000093</v>
      </c>
      <c r="E39" s="118">
        <f t="shared" si="44"/>
        <v>1341596</v>
      </c>
      <c r="F39" s="118">
        <f t="shared" si="44"/>
        <v>-621852</v>
      </c>
      <c r="G39" s="118">
        <f t="shared" si="44"/>
        <v>-434150.66666666698</v>
      </c>
      <c r="H39" s="118">
        <f t="shared" si="44"/>
        <v>472401.33333333395</v>
      </c>
      <c r="I39" s="118">
        <f t="shared" si="44"/>
        <v>1128953.333333334</v>
      </c>
      <c r="J39" s="118">
        <f t="shared" si="44"/>
        <v>1496654.666666666</v>
      </c>
      <c r="K39" s="118">
        <f t="shared" si="44"/>
        <v>2403206.666666666</v>
      </c>
      <c r="L39" s="118">
        <f t="shared" si="44"/>
        <v>3059758.666666666</v>
      </c>
      <c r="M39" s="118">
        <f t="shared" si="44"/>
        <v>6890220</v>
      </c>
      <c r="N39" s="118">
        <f t="shared" si="44"/>
        <v>7140220</v>
      </c>
      <c r="O39" s="118">
        <f t="shared" si="44"/>
        <v>7140220</v>
      </c>
      <c r="P39" s="118">
        <f t="shared" si="44"/>
        <v>7140220</v>
      </c>
      <c r="Q39" s="118">
        <f t="shared" si="44"/>
        <v>7390220</v>
      </c>
      <c r="R39" s="118">
        <f t="shared" si="44"/>
        <v>6890220</v>
      </c>
      <c r="S39" s="118">
        <f t="shared" si="44"/>
        <v>6640220</v>
      </c>
      <c r="T39" s="118">
        <f t="shared" si="44"/>
        <v>6640220</v>
      </c>
      <c r="U39" s="118">
        <f t="shared" si="44"/>
        <v>6640220</v>
      </c>
      <c r="V39" s="118">
        <f t="shared" si="44"/>
        <v>6640220</v>
      </c>
      <c r="W39" s="118">
        <f t="shared" si="44"/>
        <v>6640220</v>
      </c>
      <c r="X39" s="118">
        <f t="shared" si="44"/>
        <v>6640220</v>
      </c>
      <c r="Y39" s="118">
        <f t="shared" si="44"/>
        <v>6640220</v>
      </c>
      <c r="Z39" s="118">
        <f t="shared" si="44"/>
        <v>6092083.5999999996</v>
      </c>
      <c r="AA39" s="118">
        <f t="shared" si="44"/>
        <v>6092083.5999999996</v>
      </c>
      <c r="AB39" s="118">
        <f t="shared" si="44"/>
        <v>6092083.5999999996</v>
      </c>
      <c r="AC39" s="118">
        <f t="shared" si="44"/>
        <v>6092083.5999999996</v>
      </c>
      <c r="AD39" s="118">
        <f t="shared" si="44"/>
        <v>6092083.5999999996</v>
      </c>
      <c r="AE39" s="118">
        <f t="shared" si="44"/>
        <v>6092083.5999999996</v>
      </c>
      <c r="AF39" s="118">
        <f t="shared" si="44"/>
        <v>6092083.5999999996</v>
      </c>
      <c r="AG39" s="118">
        <f t="shared" si="44"/>
        <v>6092083.5999999996</v>
      </c>
      <c r="AH39" s="118">
        <f t="shared" si="44"/>
        <v>6092083.5999999996</v>
      </c>
      <c r="AI39" s="118">
        <f>AI37+AI38</f>
        <v>6092083.5999999996</v>
      </c>
      <c r="AJ39" s="118">
        <f t="shared" si="44"/>
        <v>6092083.5999999996</v>
      </c>
      <c r="AK39" s="118">
        <f t="shared" ref="AK39:BI39" si="45">AK37+AK38</f>
        <v>6092082.5999999996</v>
      </c>
      <c r="AL39" s="118">
        <f t="shared" si="45"/>
        <v>6092081.5999999996</v>
      </c>
      <c r="AM39" s="118">
        <f t="shared" si="45"/>
        <v>6092080.5999999996</v>
      </c>
      <c r="AN39" s="118">
        <f t="shared" si="45"/>
        <v>6092079.5999999996</v>
      </c>
      <c r="AO39" s="118">
        <f t="shared" si="45"/>
        <v>6092078.5999999996</v>
      </c>
      <c r="AP39" s="118">
        <f t="shared" si="45"/>
        <v>6092077.5999999996</v>
      </c>
      <c r="AQ39" s="118">
        <f t="shared" si="45"/>
        <v>6092076.5999999996</v>
      </c>
      <c r="AR39" s="118">
        <f t="shared" si="45"/>
        <v>6092075.5999999996</v>
      </c>
      <c r="AS39" s="118">
        <f t="shared" si="45"/>
        <v>6092074.5999999996</v>
      </c>
      <c r="AT39" s="118">
        <f t="shared" si="45"/>
        <v>6092073.5999999996</v>
      </c>
      <c r="AU39" s="118">
        <f t="shared" si="45"/>
        <v>6092072.5999999996</v>
      </c>
      <c r="AV39" s="118">
        <f t="shared" si="45"/>
        <v>6092071.5999999996</v>
      </c>
      <c r="AW39" s="118">
        <f t="shared" si="45"/>
        <v>6092070.5999999996</v>
      </c>
      <c r="AX39" s="118">
        <f t="shared" si="45"/>
        <v>6092069.5999999996</v>
      </c>
      <c r="AY39" s="118">
        <f t="shared" si="45"/>
        <v>6092068.5999999996</v>
      </c>
      <c r="AZ39" s="118">
        <f t="shared" si="45"/>
        <v>6092067.5999999996</v>
      </c>
      <c r="BA39" s="118">
        <f t="shared" si="45"/>
        <v>6092066.5999999996</v>
      </c>
      <c r="BB39" s="118">
        <f t="shared" si="45"/>
        <v>6092065.5999999996</v>
      </c>
      <c r="BC39" s="118">
        <f t="shared" si="45"/>
        <v>6092064.5999999996</v>
      </c>
      <c r="BD39" s="118">
        <f t="shared" si="45"/>
        <v>6092063.5999999996</v>
      </c>
      <c r="BE39" s="118">
        <f t="shared" si="45"/>
        <v>6092062.5999999996</v>
      </c>
      <c r="BF39" s="118">
        <f t="shared" si="45"/>
        <v>6092061.5999999996</v>
      </c>
      <c r="BG39" s="118">
        <f t="shared" si="45"/>
        <v>6092060.5999999996</v>
      </c>
      <c r="BH39" s="118">
        <f t="shared" si="45"/>
        <v>6092059.5999999996</v>
      </c>
      <c r="BI39" s="118">
        <f t="shared" si="45"/>
        <v>6092058.5999999996</v>
      </c>
      <c r="BJ39" s="240">
        <f>SUM(B39:BI39)</f>
        <v>325957848.60000008</v>
      </c>
      <c r="BK39" s="242" t="s">
        <v>382</v>
      </c>
    </row>
    <row r="40" spans="1:68" ht="15" thickBot="1">
      <c r="A40" s="122" t="s">
        <v>112</v>
      </c>
      <c r="B40" s="17">
        <f>B36+B39</f>
        <v>-94334240</v>
      </c>
      <c r="C40" s="17">
        <f t="shared" ref="C40:AJ40" si="46">B40+C39</f>
        <v>-92102428</v>
      </c>
      <c r="D40" s="17">
        <f t="shared" si="46"/>
        <v>-91276264</v>
      </c>
      <c r="E40" s="17">
        <f t="shared" si="46"/>
        <v>-89934668</v>
      </c>
      <c r="F40" s="17">
        <f t="shared" si="46"/>
        <v>-90556520</v>
      </c>
      <c r="G40" s="17">
        <f t="shared" si="46"/>
        <v>-90990670.666666672</v>
      </c>
      <c r="H40" s="17">
        <f t="shared" si="46"/>
        <v>-90518269.333333343</v>
      </c>
      <c r="I40" s="17">
        <f t="shared" si="46"/>
        <v>-89389316.000000015</v>
      </c>
      <c r="J40" s="17">
        <f t="shared" si="46"/>
        <v>-87892661.333333343</v>
      </c>
      <c r="K40" s="17">
        <f t="shared" si="46"/>
        <v>-85489454.666666672</v>
      </c>
      <c r="L40" s="17">
        <f t="shared" si="46"/>
        <v>-82429696</v>
      </c>
      <c r="M40" s="17">
        <f t="shared" si="46"/>
        <v>-75539476</v>
      </c>
      <c r="N40" s="17">
        <f t="shared" si="46"/>
        <v>-68399256</v>
      </c>
      <c r="O40" s="17">
        <f t="shared" si="46"/>
        <v>-61259036</v>
      </c>
      <c r="P40" s="17">
        <f t="shared" si="46"/>
        <v>-54118816</v>
      </c>
      <c r="Q40" s="17">
        <f t="shared" si="46"/>
        <v>-46728596</v>
      </c>
      <c r="R40" s="17">
        <f t="shared" si="46"/>
        <v>-39838376</v>
      </c>
      <c r="S40" s="17">
        <f t="shared" si="46"/>
        <v>-33198156</v>
      </c>
      <c r="T40" s="17">
        <f t="shared" si="46"/>
        <v>-26557936</v>
      </c>
      <c r="U40" s="17">
        <f t="shared" si="46"/>
        <v>-19917716</v>
      </c>
      <c r="V40" s="17">
        <f t="shared" si="46"/>
        <v>-13277496</v>
      </c>
      <c r="W40" s="17">
        <f t="shared" si="46"/>
        <v>-6637276</v>
      </c>
      <c r="X40" s="17">
        <f t="shared" si="46"/>
        <v>2944</v>
      </c>
      <c r="Y40" s="17">
        <f t="shared" si="46"/>
        <v>6643164</v>
      </c>
      <c r="Z40" s="17">
        <f t="shared" si="46"/>
        <v>12735247.6</v>
      </c>
      <c r="AA40" s="17">
        <f t="shared" si="46"/>
        <v>18827331.199999999</v>
      </c>
      <c r="AB40" s="17">
        <f t="shared" si="46"/>
        <v>24919414.799999997</v>
      </c>
      <c r="AC40" s="17">
        <f t="shared" si="46"/>
        <v>31011498.399999999</v>
      </c>
      <c r="AD40" s="17">
        <f t="shared" si="46"/>
        <v>37103582</v>
      </c>
      <c r="AE40" s="17">
        <f t="shared" si="46"/>
        <v>43195665.600000001</v>
      </c>
      <c r="AF40" s="17">
        <f t="shared" si="46"/>
        <v>49287749.200000003</v>
      </c>
      <c r="AG40" s="17">
        <f t="shared" si="46"/>
        <v>55379832.800000004</v>
      </c>
      <c r="AH40" s="17">
        <f t="shared" si="46"/>
        <v>61471916.400000006</v>
      </c>
      <c r="AI40" s="17">
        <f t="shared" si="46"/>
        <v>67564000</v>
      </c>
      <c r="AJ40" s="17">
        <f t="shared" si="46"/>
        <v>73656083.599999994</v>
      </c>
      <c r="AK40" s="17">
        <f t="shared" ref="AK40" si="47">AJ40+AK39</f>
        <v>79748166.199999988</v>
      </c>
      <c r="AL40" s="17">
        <f t="shared" ref="AL40" si="48">AK40+AL39</f>
        <v>85840247.799999982</v>
      </c>
      <c r="AM40" s="17">
        <f t="shared" ref="AM40" si="49">AL40+AM39</f>
        <v>91932328.399999976</v>
      </c>
      <c r="AN40" s="17">
        <f t="shared" ref="AN40" si="50">AM40+AN39</f>
        <v>98024407.99999997</v>
      </c>
      <c r="AO40" s="17">
        <f t="shared" ref="AO40" si="51">AN40+AO39</f>
        <v>104116486.59999996</v>
      </c>
      <c r="AP40" s="17">
        <f t="shared" ref="AP40" si="52">AO40+AP39</f>
        <v>110208564.19999996</v>
      </c>
      <c r="AQ40" s="17">
        <f t="shared" ref="AQ40" si="53">AP40+AQ39</f>
        <v>116300640.79999995</v>
      </c>
      <c r="AR40" s="17">
        <f t="shared" ref="AR40" si="54">AQ40+AR39</f>
        <v>122392716.39999995</v>
      </c>
      <c r="AS40" s="17">
        <f t="shared" ref="AS40" si="55">AR40+AS39</f>
        <v>128484790.99999994</v>
      </c>
      <c r="AT40" s="17">
        <f t="shared" ref="AT40" si="56">AS40+AT39</f>
        <v>134576864.59999993</v>
      </c>
      <c r="AU40" s="17">
        <f t="shared" ref="AU40" si="57">AT40+AU39</f>
        <v>140668937.19999993</v>
      </c>
      <c r="AV40" s="17">
        <f t="shared" ref="AV40" si="58">AU40+AV39</f>
        <v>146761008.79999992</v>
      </c>
      <c r="AW40" s="17">
        <f t="shared" ref="AW40" si="59">AV40+AW39</f>
        <v>152853079.39999992</v>
      </c>
      <c r="AX40" s="17">
        <f t="shared" ref="AX40" si="60">AW40+AX39</f>
        <v>158945148.99999991</v>
      </c>
      <c r="AY40" s="17">
        <f t="shared" ref="AY40" si="61">AX40+AY39</f>
        <v>165037217.5999999</v>
      </c>
      <c r="AZ40" s="17">
        <f t="shared" ref="AZ40" si="62">AY40+AZ39</f>
        <v>171129285.1999999</v>
      </c>
      <c r="BA40" s="17">
        <f t="shared" ref="BA40" si="63">AZ40+BA39</f>
        <v>177221351.79999989</v>
      </c>
      <c r="BB40" s="17">
        <f t="shared" ref="BB40" si="64">BA40+BB39</f>
        <v>183313417.39999989</v>
      </c>
      <c r="BC40" s="17">
        <f t="shared" ref="BC40" si="65">BB40+BC39</f>
        <v>189405481.99999988</v>
      </c>
      <c r="BD40" s="17">
        <f t="shared" ref="BD40" si="66">BC40+BD39</f>
        <v>195497545.59999987</v>
      </c>
      <c r="BE40" s="17">
        <f t="shared" ref="BE40" si="67">BD40+BE39</f>
        <v>201589608.19999987</v>
      </c>
      <c r="BF40" s="17">
        <f t="shared" ref="BF40" si="68">BE40+BF39</f>
        <v>207681669.79999986</v>
      </c>
      <c r="BG40" s="17">
        <f t="shared" ref="BG40" si="69">BF40+BG39</f>
        <v>213773730.39999986</v>
      </c>
      <c r="BH40" s="17">
        <f t="shared" ref="BH40" si="70">BG40+BH39</f>
        <v>219865789.99999985</v>
      </c>
      <c r="BI40" s="17">
        <f t="shared" ref="BI40" si="71">BH40+BI39</f>
        <v>225957848.59999985</v>
      </c>
      <c r="BJ40" s="240">
        <f>AK39*36</f>
        <v>219314973.59999999</v>
      </c>
      <c r="BK40" s="241" t="s">
        <v>317</v>
      </c>
    </row>
    <row r="41" spans="1:68">
      <c r="M41" s="258">
        <f>SUM(B39:M39)</f>
        <v>24460524</v>
      </c>
      <c r="Y41" s="258">
        <f>SUM(N39:Y39)</f>
        <v>82182640</v>
      </c>
      <c r="AK41" s="258">
        <f>SUM(Z39:AK39)</f>
        <v>73105002.200000003</v>
      </c>
      <c r="AW41" s="258">
        <f>SUM(AL39:AW39)</f>
        <v>73104913.200000003</v>
      </c>
      <c r="BI41" s="258">
        <f>SUM(AX39:BI39)</f>
        <v>73104769.200000003</v>
      </c>
      <c r="BJ41" s="265">
        <f>BJ40*10%</f>
        <v>21931497.359999999</v>
      </c>
      <c r="BK41" s="242" t="s">
        <v>381</v>
      </c>
    </row>
    <row r="42" spans="1:68">
      <c r="M42" s="259">
        <f>M41*50%</f>
        <v>12230262</v>
      </c>
      <c r="Y42" s="259">
        <f>Y41*50%</f>
        <v>41091320</v>
      </c>
      <c r="AK42" s="259">
        <f>AK41*50%</f>
        <v>36552501.100000001</v>
      </c>
      <c r="AW42" s="259">
        <f>AW41*50%</f>
        <v>36552456.600000001</v>
      </c>
      <c r="BI42" s="259">
        <f>BI41*50%</f>
        <v>36552384.600000001</v>
      </c>
      <c r="BJ42" s="260">
        <f>M42+Y42+AK42+AW42+BI42</f>
        <v>162978924.29999998</v>
      </c>
      <c r="BK42" s="8" t="s">
        <v>398</v>
      </c>
      <c r="BL42" s="263" t="s">
        <v>375</v>
      </c>
      <c r="BN42" s="264" t="s">
        <v>380</v>
      </c>
    </row>
    <row r="43" spans="1:68">
      <c r="AI43" s="237"/>
      <c r="BN43" s="263"/>
    </row>
    <row r="44" spans="1:68">
      <c r="BN44" s="263"/>
    </row>
    <row r="45" spans="1:68">
      <c r="BN45" s="263"/>
    </row>
    <row r="46" spans="1:68">
      <c r="A46" s="224" t="s">
        <v>310</v>
      </c>
      <c r="B46" s="223">
        <f>B39*50%</f>
        <v>2832880</v>
      </c>
      <c r="C46" s="223">
        <f t="shared" ref="C46:BI46" si="72">C39*50%</f>
        <v>1115906</v>
      </c>
      <c r="D46" s="223">
        <f t="shared" si="72"/>
        <v>413082.00000000047</v>
      </c>
      <c r="E46" s="223">
        <f t="shared" si="72"/>
        <v>670798</v>
      </c>
      <c r="F46" s="223">
        <f t="shared" si="72"/>
        <v>-310926</v>
      </c>
      <c r="G46" s="223">
        <f t="shared" si="72"/>
        <v>-217075.33333333349</v>
      </c>
      <c r="H46" s="223">
        <f t="shared" si="72"/>
        <v>236200.66666666698</v>
      </c>
      <c r="I46" s="223">
        <f t="shared" si="72"/>
        <v>564476.66666666698</v>
      </c>
      <c r="J46" s="223">
        <f t="shared" si="72"/>
        <v>748327.33333333302</v>
      </c>
      <c r="K46" s="223">
        <f t="shared" si="72"/>
        <v>1201603.333333333</v>
      </c>
      <c r="L46" s="223">
        <f t="shared" si="72"/>
        <v>1529879.333333333</v>
      </c>
      <c r="M46" s="223">
        <f t="shared" si="72"/>
        <v>3445110</v>
      </c>
      <c r="N46" s="223">
        <f t="shared" si="72"/>
        <v>3570110</v>
      </c>
      <c r="O46" s="223">
        <f t="shared" si="72"/>
        <v>3570110</v>
      </c>
      <c r="P46" s="223">
        <f t="shared" si="72"/>
        <v>3570110</v>
      </c>
      <c r="Q46" s="223">
        <f t="shared" si="72"/>
        <v>3695110</v>
      </c>
      <c r="R46" s="223">
        <f t="shared" si="72"/>
        <v>3445110</v>
      </c>
      <c r="S46" s="223">
        <f t="shared" si="72"/>
        <v>3320110</v>
      </c>
      <c r="T46" s="223">
        <f t="shared" si="72"/>
        <v>3320110</v>
      </c>
      <c r="U46" s="223">
        <f t="shared" si="72"/>
        <v>3320110</v>
      </c>
      <c r="V46" s="223">
        <f t="shared" si="72"/>
        <v>3320110</v>
      </c>
      <c r="W46" s="223">
        <f t="shared" si="72"/>
        <v>3320110</v>
      </c>
      <c r="X46" s="223">
        <f t="shared" si="72"/>
        <v>3320110</v>
      </c>
      <c r="Y46" s="223">
        <f t="shared" si="72"/>
        <v>3320110</v>
      </c>
      <c r="Z46" s="223">
        <f t="shared" si="72"/>
        <v>3046041.8</v>
      </c>
      <c r="AA46" s="223">
        <f t="shared" si="72"/>
        <v>3046041.8</v>
      </c>
      <c r="AB46" s="223">
        <f t="shared" si="72"/>
        <v>3046041.8</v>
      </c>
      <c r="AC46" s="223">
        <f t="shared" si="72"/>
        <v>3046041.8</v>
      </c>
      <c r="AD46" s="223">
        <f t="shared" si="72"/>
        <v>3046041.8</v>
      </c>
      <c r="AE46" s="223">
        <f t="shared" si="72"/>
        <v>3046041.8</v>
      </c>
      <c r="AF46" s="223">
        <f t="shared" si="72"/>
        <v>3046041.8</v>
      </c>
      <c r="AG46" s="223">
        <f t="shared" si="72"/>
        <v>3046041.8</v>
      </c>
      <c r="AH46" s="223">
        <f t="shared" si="72"/>
        <v>3046041.8</v>
      </c>
      <c r="AI46" s="223">
        <f t="shared" si="72"/>
        <v>3046041.8</v>
      </c>
      <c r="AJ46" s="223">
        <f t="shared" si="72"/>
        <v>3046041.8</v>
      </c>
      <c r="AK46" s="223">
        <f t="shared" si="72"/>
        <v>3046041.3</v>
      </c>
      <c r="AL46" s="223">
        <f t="shared" si="72"/>
        <v>3046040.8</v>
      </c>
      <c r="AM46" s="223">
        <f t="shared" si="72"/>
        <v>3046040.3</v>
      </c>
      <c r="AN46" s="223">
        <f t="shared" si="72"/>
        <v>3046039.8</v>
      </c>
      <c r="AO46" s="223">
        <f t="shared" si="72"/>
        <v>3046039.3</v>
      </c>
      <c r="AP46" s="223">
        <f t="shared" si="72"/>
        <v>3046038.8</v>
      </c>
      <c r="AQ46" s="223">
        <f t="shared" si="72"/>
        <v>3046038.3</v>
      </c>
      <c r="AR46" s="223">
        <f t="shared" si="72"/>
        <v>3046037.8</v>
      </c>
      <c r="AS46" s="223">
        <f t="shared" si="72"/>
        <v>3046037.3</v>
      </c>
      <c r="AT46" s="223">
        <f t="shared" si="72"/>
        <v>3046036.8</v>
      </c>
      <c r="AU46" s="223">
        <f t="shared" si="72"/>
        <v>3046036.3</v>
      </c>
      <c r="AV46" s="223">
        <f t="shared" si="72"/>
        <v>3046035.8</v>
      </c>
      <c r="AW46" s="223">
        <f t="shared" si="72"/>
        <v>3046035.3</v>
      </c>
      <c r="AX46" s="223">
        <f t="shared" si="72"/>
        <v>3046034.8</v>
      </c>
      <c r="AY46" s="223">
        <f t="shared" si="72"/>
        <v>3046034.3</v>
      </c>
      <c r="AZ46" s="223">
        <f t="shared" si="72"/>
        <v>3046033.8</v>
      </c>
      <c r="BA46" s="223">
        <f t="shared" si="72"/>
        <v>3046033.3</v>
      </c>
      <c r="BB46" s="223">
        <f t="shared" si="72"/>
        <v>3046032.8</v>
      </c>
      <c r="BC46" s="223">
        <f t="shared" si="72"/>
        <v>3046032.3</v>
      </c>
      <c r="BD46" s="223">
        <f t="shared" si="72"/>
        <v>3046031.8</v>
      </c>
      <c r="BE46" s="223">
        <f t="shared" si="72"/>
        <v>3046031.3</v>
      </c>
      <c r="BF46" s="223">
        <f t="shared" si="72"/>
        <v>3046030.8</v>
      </c>
      <c r="BG46" s="223">
        <f t="shared" si="72"/>
        <v>3046030.3</v>
      </c>
      <c r="BH46" s="223">
        <f t="shared" si="72"/>
        <v>3046029.8</v>
      </c>
      <c r="BI46" s="223">
        <f t="shared" si="72"/>
        <v>3046029.3</v>
      </c>
      <c r="BJ46" s="238">
        <f>SUM(B46:BI46)+(BI46*12)</f>
        <v>199531275.90000004</v>
      </c>
      <c r="BK46" s="262" t="s">
        <v>379</v>
      </c>
      <c r="BL46" s="263" t="s">
        <v>376</v>
      </c>
      <c r="BN46" s="264" t="s">
        <v>380</v>
      </c>
      <c r="BP46" s="8" t="s">
        <v>404</v>
      </c>
    </row>
    <row r="47" spans="1:68">
      <c r="A47" s="221"/>
      <c r="B47" s="222">
        <f>100000000*1%</f>
        <v>1000000</v>
      </c>
      <c r="C47" s="222">
        <f t="shared" ref="C47:BI47" si="73">100000000*1%</f>
        <v>1000000</v>
      </c>
      <c r="D47" s="222">
        <f t="shared" si="73"/>
        <v>1000000</v>
      </c>
      <c r="E47" s="222">
        <f t="shared" si="73"/>
        <v>1000000</v>
      </c>
      <c r="F47" s="222">
        <f t="shared" si="73"/>
        <v>1000000</v>
      </c>
      <c r="G47" s="222">
        <f t="shared" si="73"/>
        <v>1000000</v>
      </c>
      <c r="H47" s="222">
        <f t="shared" si="73"/>
        <v>1000000</v>
      </c>
      <c r="I47" s="222">
        <f t="shared" si="73"/>
        <v>1000000</v>
      </c>
      <c r="J47" s="222">
        <f t="shared" si="73"/>
        <v>1000000</v>
      </c>
      <c r="K47" s="222">
        <f t="shared" si="73"/>
        <v>1000000</v>
      </c>
      <c r="L47" s="222">
        <f t="shared" si="73"/>
        <v>1000000</v>
      </c>
      <c r="M47" s="222">
        <f t="shared" si="73"/>
        <v>1000000</v>
      </c>
      <c r="N47" s="222">
        <f t="shared" si="73"/>
        <v>1000000</v>
      </c>
      <c r="O47" s="222">
        <f t="shared" si="73"/>
        <v>1000000</v>
      </c>
      <c r="P47" s="222">
        <f t="shared" si="73"/>
        <v>1000000</v>
      </c>
      <c r="Q47" s="222">
        <f t="shared" si="73"/>
        <v>1000000</v>
      </c>
      <c r="R47" s="222">
        <f t="shared" si="73"/>
        <v>1000000</v>
      </c>
      <c r="S47" s="222">
        <f t="shared" si="73"/>
        <v>1000000</v>
      </c>
      <c r="T47" s="222">
        <f t="shared" si="73"/>
        <v>1000000</v>
      </c>
      <c r="U47" s="222">
        <f t="shared" si="73"/>
        <v>1000000</v>
      </c>
      <c r="V47" s="222">
        <f t="shared" si="73"/>
        <v>1000000</v>
      </c>
      <c r="W47" s="222">
        <f t="shared" si="73"/>
        <v>1000000</v>
      </c>
      <c r="X47" s="222">
        <f t="shared" si="73"/>
        <v>1000000</v>
      </c>
      <c r="Y47" s="222">
        <f t="shared" si="73"/>
        <v>1000000</v>
      </c>
      <c r="Z47" s="222">
        <f t="shared" si="73"/>
        <v>1000000</v>
      </c>
      <c r="AA47" s="222">
        <f t="shared" si="73"/>
        <v>1000000</v>
      </c>
      <c r="AB47" s="222">
        <f t="shared" si="73"/>
        <v>1000000</v>
      </c>
      <c r="AC47" s="222">
        <f t="shared" si="73"/>
        <v>1000000</v>
      </c>
      <c r="AD47" s="222">
        <f t="shared" si="73"/>
        <v>1000000</v>
      </c>
      <c r="AE47" s="222">
        <f t="shared" si="73"/>
        <v>1000000</v>
      </c>
      <c r="AF47" s="222">
        <f t="shared" si="73"/>
        <v>1000000</v>
      </c>
      <c r="AG47" s="222">
        <f t="shared" si="73"/>
        <v>1000000</v>
      </c>
      <c r="AH47" s="222">
        <f t="shared" si="73"/>
        <v>1000000</v>
      </c>
      <c r="AI47" s="222">
        <f t="shared" si="73"/>
        <v>1000000</v>
      </c>
      <c r="AJ47" s="222">
        <f t="shared" si="73"/>
        <v>1000000</v>
      </c>
      <c r="AK47" s="222">
        <f t="shared" si="73"/>
        <v>1000000</v>
      </c>
      <c r="AL47" s="222">
        <f t="shared" si="73"/>
        <v>1000000</v>
      </c>
      <c r="AM47" s="222">
        <f t="shared" si="73"/>
        <v>1000000</v>
      </c>
      <c r="AN47" s="222">
        <f t="shared" si="73"/>
        <v>1000000</v>
      </c>
      <c r="AO47" s="222">
        <f t="shared" si="73"/>
        <v>1000000</v>
      </c>
      <c r="AP47" s="222">
        <f t="shared" si="73"/>
        <v>1000000</v>
      </c>
      <c r="AQ47" s="222">
        <f t="shared" si="73"/>
        <v>1000000</v>
      </c>
      <c r="AR47" s="222">
        <f t="shared" si="73"/>
        <v>1000000</v>
      </c>
      <c r="AS47" s="222">
        <f t="shared" si="73"/>
        <v>1000000</v>
      </c>
      <c r="AT47" s="222">
        <f t="shared" si="73"/>
        <v>1000000</v>
      </c>
      <c r="AU47" s="222">
        <f t="shared" si="73"/>
        <v>1000000</v>
      </c>
      <c r="AV47" s="222">
        <f t="shared" si="73"/>
        <v>1000000</v>
      </c>
      <c r="AW47" s="222">
        <f t="shared" si="73"/>
        <v>1000000</v>
      </c>
      <c r="AX47" s="222">
        <f t="shared" si="73"/>
        <v>1000000</v>
      </c>
      <c r="AY47" s="222">
        <f t="shared" si="73"/>
        <v>1000000</v>
      </c>
      <c r="AZ47" s="222">
        <f t="shared" si="73"/>
        <v>1000000</v>
      </c>
      <c r="BA47" s="222">
        <f t="shared" si="73"/>
        <v>1000000</v>
      </c>
      <c r="BB47" s="222">
        <f t="shared" si="73"/>
        <v>1000000</v>
      </c>
      <c r="BC47" s="222">
        <f t="shared" si="73"/>
        <v>1000000</v>
      </c>
      <c r="BD47" s="222">
        <f t="shared" si="73"/>
        <v>1000000</v>
      </c>
      <c r="BE47" s="222">
        <f t="shared" si="73"/>
        <v>1000000</v>
      </c>
      <c r="BF47" s="222">
        <f t="shared" si="73"/>
        <v>1000000</v>
      </c>
      <c r="BG47" s="222">
        <f t="shared" si="73"/>
        <v>1000000</v>
      </c>
      <c r="BH47" s="222">
        <f t="shared" si="73"/>
        <v>1000000</v>
      </c>
      <c r="BI47" s="222">
        <f t="shared" si="73"/>
        <v>1000000</v>
      </c>
      <c r="BJ47" s="274">
        <f>SUM(B47:BI47)</f>
        <v>60000000</v>
      </c>
      <c r="BK47" s="262" t="s">
        <v>377</v>
      </c>
      <c r="BL47" s="263" t="s">
        <v>378</v>
      </c>
      <c r="BN47" s="264" t="s">
        <v>395</v>
      </c>
    </row>
    <row r="48" spans="1:68">
      <c r="B48" s="7">
        <v>1</v>
      </c>
      <c r="C48" s="7">
        <v>2</v>
      </c>
      <c r="D48" s="7">
        <v>3</v>
      </c>
      <c r="E48" s="7">
        <v>4</v>
      </c>
      <c r="F48" s="7">
        <v>5</v>
      </c>
      <c r="G48" s="7">
        <v>6</v>
      </c>
      <c r="H48" s="7">
        <v>7</v>
      </c>
      <c r="I48" s="7">
        <v>8</v>
      </c>
      <c r="J48" s="7">
        <v>9</v>
      </c>
      <c r="K48" s="7">
        <v>10</v>
      </c>
      <c r="L48" s="7">
        <v>11</v>
      </c>
      <c r="M48" s="7">
        <v>12</v>
      </c>
      <c r="N48" s="7">
        <v>13</v>
      </c>
      <c r="O48" s="7">
        <v>14</v>
      </c>
      <c r="P48" s="7">
        <v>15</v>
      </c>
      <c r="Q48" s="7">
        <v>16</v>
      </c>
      <c r="R48" s="7">
        <v>17</v>
      </c>
      <c r="S48" s="7">
        <v>18</v>
      </c>
      <c r="T48" s="7">
        <v>19</v>
      </c>
      <c r="U48" s="7">
        <v>20</v>
      </c>
      <c r="V48" s="7">
        <v>21</v>
      </c>
      <c r="W48" s="7">
        <v>22</v>
      </c>
      <c r="X48" s="7">
        <v>23</v>
      </c>
      <c r="Y48" s="7">
        <v>24</v>
      </c>
      <c r="Z48" s="7">
        <v>25</v>
      </c>
      <c r="AA48" s="7">
        <v>26</v>
      </c>
      <c r="AB48" s="7">
        <v>27</v>
      </c>
      <c r="AC48" s="7">
        <v>28</v>
      </c>
      <c r="AD48" s="7">
        <v>29</v>
      </c>
      <c r="AE48" s="7">
        <v>30</v>
      </c>
      <c r="AF48" s="7">
        <v>31</v>
      </c>
      <c r="AG48" s="7">
        <v>32</v>
      </c>
      <c r="AH48" s="7">
        <v>33</v>
      </c>
      <c r="AI48" s="7">
        <v>34</v>
      </c>
      <c r="AJ48" s="7">
        <v>35</v>
      </c>
      <c r="AK48" s="7">
        <v>36</v>
      </c>
      <c r="AL48" s="7">
        <v>37</v>
      </c>
      <c r="AM48" s="7">
        <v>38</v>
      </c>
      <c r="AN48" s="7">
        <v>39</v>
      </c>
      <c r="AO48" s="7">
        <v>40</v>
      </c>
      <c r="AP48" s="7">
        <v>41</v>
      </c>
      <c r="AQ48" s="7">
        <v>42</v>
      </c>
      <c r="AR48" s="7">
        <v>43</v>
      </c>
      <c r="AS48" s="7">
        <v>44</v>
      </c>
      <c r="AT48" s="7">
        <v>45</v>
      </c>
      <c r="AU48" s="7">
        <v>46</v>
      </c>
      <c r="AV48" s="7">
        <v>47</v>
      </c>
      <c r="AW48" s="7">
        <v>48</v>
      </c>
      <c r="AX48" s="7">
        <v>49</v>
      </c>
      <c r="AY48" s="7">
        <v>50</v>
      </c>
      <c r="AZ48" s="7">
        <v>51</v>
      </c>
      <c r="BA48" s="7">
        <v>52</v>
      </c>
      <c r="BB48" s="7">
        <v>53</v>
      </c>
      <c r="BC48" s="7">
        <v>54</v>
      </c>
      <c r="BD48" s="7">
        <v>55</v>
      </c>
      <c r="BE48" s="7">
        <v>56</v>
      </c>
      <c r="BF48" s="7">
        <v>57</v>
      </c>
      <c r="BG48" s="7">
        <v>58</v>
      </c>
      <c r="BH48" s="7">
        <v>59</v>
      </c>
      <c r="BI48" s="7">
        <v>60</v>
      </c>
    </row>
    <row r="49" spans="2:63">
      <c r="BJ49" s="239"/>
    </row>
    <row r="50" spans="2:63"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39"/>
      <c r="BK50" s="237"/>
    </row>
    <row r="51" spans="2:63"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  <c r="BJ51" s="239"/>
    </row>
    <row r="53" spans="2:63">
      <c r="D53" s="7" t="s">
        <v>321</v>
      </c>
      <c r="E53" s="246">
        <f>SUM(B8:M8)</f>
        <v>108912104.00000001</v>
      </c>
    </row>
    <row r="54" spans="2:63">
      <c r="D54" s="7" t="s">
        <v>322</v>
      </c>
      <c r="E54" s="247">
        <f>SUM(B14:M14)</f>
        <v>84451580</v>
      </c>
    </row>
    <row r="55" spans="2:63">
      <c r="D55" s="7" t="s">
        <v>323</v>
      </c>
      <c r="E55" s="247">
        <f>SUM(B39:M39)</f>
        <v>24460524</v>
      </c>
    </row>
    <row r="56" spans="2:63">
      <c r="D56" s="7" t="s">
        <v>324</v>
      </c>
      <c r="E56" s="248">
        <f>E55/E53*100</f>
        <v>22.458958280706796</v>
      </c>
    </row>
    <row r="57" spans="2:63">
      <c r="D57" s="244" t="s">
        <v>318</v>
      </c>
      <c r="E57" s="243" t="e">
        <f>(#REF!-#REF!)/#REF!*100%</f>
        <v>#REF!</v>
      </c>
      <c r="F57" s="8" t="s">
        <v>319</v>
      </c>
      <c r="G57" s="8"/>
      <c r="H57" s="8"/>
      <c r="I57" s="245" t="s">
        <v>320</v>
      </c>
    </row>
    <row r="63" spans="2:63">
      <c r="D63" s="248"/>
    </row>
  </sheetData>
  <sheetProtection formatCells="0" formatColumns="0" formatRows="0" insertColumns="0" insertRows="0" insertHyperlinks="0" deleteColumns="0" deleteRows="0" sort="0" autoFilter="0" pivotTables="0"/>
  <mergeCells count="1">
    <mergeCell ref="B20:BI20"/>
  </mergeCells>
  <phoneticPr fontId="35" type="noConversion"/>
  <conditionalFormatting sqref="B39:BI39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A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27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ColWidth="8.44140625" defaultRowHeight="13.2"/>
  <cols>
    <col min="1" max="1" width="55.33203125" style="1" customWidth="1"/>
    <col min="2" max="2" width="11.77734375" style="1" customWidth="1"/>
    <col min="3" max="3" width="1.6640625" style="1" customWidth="1"/>
    <col min="4" max="4" width="46.6640625" style="1" customWidth="1"/>
    <col min="5" max="5" width="13.21875" style="1" customWidth="1"/>
    <col min="6" max="6" width="12.33203125" style="1" customWidth="1"/>
    <col min="7" max="7" width="15.33203125" style="1" customWidth="1"/>
    <col min="8" max="8" width="11" style="1" bestFit="1" customWidth="1"/>
    <col min="9" max="16384" width="8.44140625" style="1"/>
  </cols>
  <sheetData>
    <row r="1" spans="1:8" ht="13.8" thickBot="1">
      <c r="A1" s="176" t="s">
        <v>127</v>
      </c>
      <c r="B1" s="177">
        <f>SUM(B2:B6)</f>
        <v>58233105</v>
      </c>
      <c r="D1" s="54" t="s">
        <v>80</v>
      </c>
      <c r="E1" s="55" t="s">
        <v>12</v>
      </c>
      <c r="F1" s="55" t="s">
        <v>81</v>
      </c>
      <c r="G1" s="56" t="s">
        <v>117</v>
      </c>
    </row>
    <row r="2" spans="1:8">
      <c r="A2" s="249" t="s">
        <v>128</v>
      </c>
      <c r="B2" s="250">
        <f>B44</f>
        <v>12000000</v>
      </c>
      <c r="D2" s="47" t="s">
        <v>36</v>
      </c>
      <c r="E2" s="128">
        <v>1</v>
      </c>
      <c r="F2" s="192">
        <v>1000000</v>
      </c>
      <c r="G2" s="57">
        <f>F2*E2</f>
        <v>1000000</v>
      </c>
    </row>
    <row r="3" spans="1:8">
      <c r="A3" s="251" t="s">
        <v>129</v>
      </c>
      <c r="B3" s="252">
        <f>B14</f>
        <v>2400000</v>
      </c>
      <c r="D3" s="47" t="s">
        <v>37</v>
      </c>
      <c r="E3" s="128">
        <v>4</v>
      </c>
      <c r="F3" s="192">
        <v>320000</v>
      </c>
      <c r="G3" s="57">
        <f>F3*E3</f>
        <v>1280000</v>
      </c>
      <c r="H3" s="1">
        <f>60/15</f>
        <v>4</v>
      </c>
    </row>
    <row r="4" spans="1:8">
      <c r="A4" s="251" t="s">
        <v>309</v>
      </c>
      <c r="B4" s="253">
        <v>16000000</v>
      </c>
      <c r="D4" s="47" t="s">
        <v>62</v>
      </c>
      <c r="E4" s="128">
        <v>4</v>
      </c>
      <c r="F4" s="192">
        <v>260000</v>
      </c>
      <c r="G4" s="57">
        <f>F4*E4</f>
        <v>1040000</v>
      </c>
    </row>
    <row r="5" spans="1:8">
      <c r="A5" s="254" t="s">
        <v>295</v>
      </c>
      <c r="B5" s="255">
        <f>B45+B50+B81+B113+B163+B172+B194+B209+B227+B236+B251+B257+B258+B268</f>
        <v>25033105</v>
      </c>
      <c r="D5" s="47"/>
      <c r="E5" s="128"/>
      <c r="F5" s="192"/>
      <c r="G5" s="57"/>
    </row>
    <row r="6" spans="1:8" ht="13.8" thickBot="1">
      <c r="A6" s="256" t="s">
        <v>308</v>
      </c>
      <c r="B6" s="257">
        <f>B11*B12</f>
        <v>2800000</v>
      </c>
      <c r="D6" s="47" t="s">
        <v>38</v>
      </c>
      <c r="E6" s="128">
        <v>1</v>
      </c>
      <c r="F6" s="192">
        <v>260000</v>
      </c>
      <c r="G6" s="57">
        <f>F6*E6</f>
        <v>260000</v>
      </c>
    </row>
    <row r="7" spans="1:8">
      <c r="A7" s="65" t="s">
        <v>69</v>
      </c>
      <c r="B7" s="195">
        <v>250000</v>
      </c>
      <c r="D7" s="92" t="s">
        <v>85</v>
      </c>
      <c r="E7" s="107"/>
      <c r="F7" s="192">
        <v>70560</v>
      </c>
      <c r="G7" s="58"/>
    </row>
    <row r="8" spans="1:8">
      <c r="A8" s="61" t="s">
        <v>70</v>
      </c>
      <c r="B8" s="196">
        <v>180000</v>
      </c>
      <c r="D8" s="45" t="s">
        <v>298</v>
      </c>
      <c r="E8" s="93"/>
      <c r="F8" s="43"/>
      <c r="G8" s="193">
        <v>78400</v>
      </c>
    </row>
    <row r="9" spans="1:8">
      <c r="A9" s="11" t="s">
        <v>14</v>
      </c>
      <c r="B9" s="197">
        <v>60</v>
      </c>
      <c r="D9" s="47" t="s">
        <v>63</v>
      </c>
      <c r="E9" s="42"/>
      <c r="F9" s="43"/>
      <c r="G9" s="59">
        <f>SUM(G2:G6)*0.31/2</f>
        <v>554900</v>
      </c>
    </row>
    <row r="10" spans="1:8" ht="14.4">
      <c r="A10" s="61" t="s">
        <v>75</v>
      </c>
      <c r="B10" s="196">
        <v>250000</v>
      </c>
      <c r="D10" s="53" t="s">
        <v>132</v>
      </c>
      <c r="E10" s="44" t="s">
        <v>12</v>
      </c>
      <c r="F10" s="44" t="s">
        <v>76</v>
      </c>
      <c r="G10" s="60">
        <f>SUM(G11:G16)</f>
        <v>360000</v>
      </c>
    </row>
    <row r="11" spans="1:8">
      <c r="A11" s="11" t="s">
        <v>73</v>
      </c>
      <c r="B11" s="197">
        <v>350</v>
      </c>
      <c r="D11" s="47" t="s">
        <v>82</v>
      </c>
      <c r="E11" s="129">
        <v>5</v>
      </c>
      <c r="F11" s="192">
        <v>6000</v>
      </c>
      <c r="G11" s="59">
        <f t="shared" ref="G11:G16" si="0">E11*F11*4</f>
        <v>120000</v>
      </c>
    </row>
    <row r="12" spans="1:8">
      <c r="A12" s="11" t="s">
        <v>296</v>
      </c>
      <c r="B12" s="197">
        <v>8000</v>
      </c>
      <c r="D12" s="47" t="s">
        <v>83</v>
      </c>
      <c r="E12" s="129">
        <v>5</v>
      </c>
      <c r="F12" s="192">
        <v>6000</v>
      </c>
      <c r="G12" s="59">
        <f t="shared" si="0"/>
        <v>120000</v>
      </c>
    </row>
    <row r="13" spans="1:8" ht="13.8" thickBot="1">
      <c r="A13" s="63" t="s">
        <v>297</v>
      </c>
      <c r="B13" s="198">
        <v>141120</v>
      </c>
      <c r="D13" s="47" t="s">
        <v>84</v>
      </c>
      <c r="E13" s="129">
        <v>1</v>
      </c>
      <c r="F13" s="192">
        <v>6000</v>
      </c>
      <c r="G13" s="59">
        <f t="shared" si="0"/>
        <v>24000</v>
      </c>
    </row>
    <row r="14" spans="1:8">
      <c r="A14" s="51" t="s">
        <v>131</v>
      </c>
      <c r="B14" s="96">
        <f>SUM(B15:B22)</f>
        <v>2400000</v>
      </c>
      <c r="D14" s="47" t="s">
        <v>86</v>
      </c>
      <c r="E14" s="129">
        <v>1</v>
      </c>
      <c r="F14" s="192">
        <v>6000</v>
      </c>
      <c r="G14" s="59">
        <f t="shared" si="0"/>
        <v>24000</v>
      </c>
    </row>
    <row r="15" spans="1:8" ht="26.4">
      <c r="A15" s="52" t="s">
        <v>90</v>
      </c>
      <c r="B15" s="199">
        <f>148960+4480</f>
        <v>153440</v>
      </c>
      <c r="D15" s="47" t="s">
        <v>87</v>
      </c>
      <c r="E15" s="129">
        <v>2</v>
      </c>
      <c r="F15" s="192">
        <v>6000</v>
      </c>
      <c r="G15" s="59">
        <f t="shared" si="0"/>
        <v>48000</v>
      </c>
    </row>
    <row r="16" spans="1:8">
      <c r="A16" s="52" t="s">
        <v>92</v>
      </c>
      <c r="B16" s="199">
        <v>117600</v>
      </c>
      <c r="D16" s="47" t="s">
        <v>88</v>
      </c>
      <c r="E16" s="129">
        <v>1</v>
      </c>
      <c r="F16" s="192">
        <v>6000</v>
      </c>
      <c r="G16" s="59">
        <f t="shared" si="0"/>
        <v>24000</v>
      </c>
    </row>
    <row r="17" spans="1:7" ht="14.4">
      <c r="A17" s="52" t="s">
        <v>94</v>
      </c>
      <c r="B17" s="199">
        <v>1744800</v>
      </c>
      <c r="D17" s="53" t="s">
        <v>133</v>
      </c>
      <c r="E17" s="44" t="s">
        <v>134</v>
      </c>
      <c r="F17" s="44" t="s">
        <v>76</v>
      </c>
      <c r="G17" s="60">
        <f>SUM(G18:G21)</f>
        <v>831040</v>
      </c>
    </row>
    <row r="18" spans="1:7" ht="13.8">
      <c r="A18" s="52" t="s">
        <v>96</v>
      </c>
      <c r="B18" s="199">
        <v>94080</v>
      </c>
      <c r="D18" s="61" t="s">
        <v>21</v>
      </c>
      <c r="E18" s="130">
        <v>3</v>
      </c>
      <c r="F18" s="192">
        <v>19600</v>
      </c>
      <c r="G18" s="62">
        <f>E18*F18*4</f>
        <v>235200</v>
      </c>
    </row>
    <row r="19" spans="1:7" ht="13.8">
      <c r="A19" s="52" t="s">
        <v>97</v>
      </c>
      <c r="B19" s="199">
        <v>47040</v>
      </c>
      <c r="D19" s="61" t="s">
        <v>22</v>
      </c>
      <c r="E19" s="130">
        <v>5</v>
      </c>
      <c r="F19" s="192">
        <v>15680</v>
      </c>
      <c r="G19" s="62">
        <f>E19*F19*4</f>
        <v>313600</v>
      </c>
    </row>
    <row r="20" spans="1:7" ht="13.8">
      <c r="A20" s="52" t="s">
        <v>98</v>
      </c>
      <c r="B20" s="199">
        <v>81536</v>
      </c>
      <c r="D20" s="61" t="s">
        <v>23</v>
      </c>
      <c r="E20" s="130">
        <v>1</v>
      </c>
      <c r="F20" s="192">
        <v>39200</v>
      </c>
      <c r="G20" s="62">
        <f>E20*F20*4</f>
        <v>156800</v>
      </c>
    </row>
    <row r="21" spans="1:7" ht="16.5" customHeight="1" thickBot="1">
      <c r="A21" s="52" t="s">
        <v>100</v>
      </c>
      <c r="B21" s="199">
        <v>98784</v>
      </c>
      <c r="D21" s="63" t="s">
        <v>24</v>
      </c>
      <c r="E21" s="131">
        <v>5</v>
      </c>
      <c r="F21" s="194">
        <v>6272</v>
      </c>
      <c r="G21" s="64">
        <f>E21*F21*4</f>
        <v>125440</v>
      </c>
    </row>
    <row r="22" spans="1:7">
      <c r="A22" s="52" t="s">
        <v>102</v>
      </c>
      <c r="B22" s="199">
        <v>62720</v>
      </c>
    </row>
    <row r="23" spans="1:7">
      <c r="A23" s="53" t="s">
        <v>130</v>
      </c>
      <c r="B23" s="97">
        <f>SUM(B24:B26)</f>
        <v>89600</v>
      </c>
      <c r="D23" s="225"/>
    </row>
    <row r="24" spans="1:7" ht="26.4">
      <c r="A24" s="52" t="s">
        <v>90</v>
      </c>
      <c r="B24" s="199">
        <v>19600</v>
      </c>
    </row>
    <row r="25" spans="1:7">
      <c r="A25" s="52" t="s">
        <v>94</v>
      </c>
      <c r="B25" s="199">
        <v>50000</v>
      </c>
      <c r="C25" s="94"/>
      <c r="D25" s="95"/>
    </row>
    <row r="26" spans="1:7" ht="13.8" thickBot="1">
      <c r="A26" s="91" t="s">
        <v>97</v>
      </c>
      <c r="B26" s="200">
        <v>20000</v>
      </c>
      <c r="C26" s="94"/>
      <c r="D26" s="95"/>
    </row>
    <row r="27" spans="1:7">
      <c r="A27" s="46" t="s">
        <v>123</v>
      </c>
      <c r="B27" s="98">
        <f>SUM(B28:B30)</f>
        <v>411482</v>
      </c>
    </row>
    <row r="28" spans="1:7">
      <c r="A28" s="47" t="s">
        <v>71</v>
      </c>
      <c r="B28" s="201">
        <v>2352</v>
      </c>
    </row>
    <row r="29" spans="1:7">
      <c r="A29" s="47" t="s">
        <v>72</v>
      </c>
      <c r="B29" s="201">
        <v>253898</v>
      </c>
    </row>
    <row r="30" spans="1:7" ht="13.8">
      <c r="A30" s="47" t="s">
        <v>74</v>
      </c>
      <c r="B30" s="201">
        <v>155232</v>
      </c>
    </row>
    <row r="31" spans="1:7">
      <c r="A31" s="48" t="s">
        <v>124</v>
      </c>
      <c r="B31" s="99">
        <f>SUM(B32:B34)</f>
        <v>45000</v>
      </c>
    </row>
    <row r="32" spans="1:7" ht="13.8">
      <c r="A32" s="47" t="s">
        <v>77</v>
      </c>
      <c r="B32" s="201">
        <v>15000</v>
      </c>
    </row>
    <row r="33" spans="1:5" ht="13.8">
      <c r="A33" s="47" t="s">
        <v>78</v>
      </c>
      <c r="B33" s="201">
        <v>15000</v>
      </c>
    </row>
    <row r="34" spans="1:5" ht="13.8">
      <c r="A34" s="47" t="s">
        <v>79</v>
      </c>
      <c r="B34" s="201">
        <v>15000</v>
      </c>
    </row>
    <row r="35" spans="1:5">
      <c r="A35" s="48" t="s">
        <v>125</v>
      </c>
      <c r="B35" s="99">
        <v>15000</v>
      </c>
    </row>
    <row r="36" spans="1:5" ht="13.8">
      <c r="A36" s="47" t="s">
        <v>89</v>
      </c>
      <c r="B36" s="201">
        <v>15680</v>
      </c>
    </row>
    <row r="37" spans="1:5" ht="13.8">
      <c r="A37" s="47" t="s">
        <v>91</v>
      </c>
      <c r="B37" s="201">
        <v>3920</v>
      </c>
    </row>
    <row r="38" spans="1:5" ht="13.8">
      <c r="A38" s="47" t="s">
        <v>93</v>
      </c>
      <c r="B38" s="201">
        <v>7840</v>
      </c>
    </row>
    <row r="39" spans="1:5" ht="13.8">
      <c r="A39" s="47" t="s">
        <v>95</v>
      </c>
      <c r="B39" s="201">
        <v>11760</v>
      </c>
    </row>
    <row r="40" spans="1:5">
      <c r="A40" s="48" t="s">
        <v>126</v>
      </c>
      <c r="B40" s="99">
        <f>B41</f>
        <v>94080</v>
      </c>
    </row>
    <row r="41" spans="1:5" ht="13.8">
      <c r="A41" s="47" t="s">
        <v>114</v>
      </c>
      <c r="B41" s="201">
        <v>94080</v>
      </c>
    </row>
    <row r="42" spans="1:5">
      <c r="A42" s="49" t="s">
        <v>99</v>
      </c>
      <c r="B42" s="100">
        <f>B43</f>
        <v>20000</v>
      </c>
    </row>
    <row r="43" spans="1:5" ht="14.4" thickBot="1">
      <c r="A43" s="50" t="s">
        <v>101</v>
      </c>
      <c r="B43" s="202">
        <v>20000</v>
      </c>
    </row>
    <row r="44" spans="1:5" ht="14.4" thickBot="1">
      <c r="A44" s="168" t="s">
        <v>307</v>
      </c>
      <c r="B44" s="169">
        <v>12000000</v>
      </c>
      <c r="D44" s="132"/>
      <c r="E44" s="132"/>
    </row>
    <row r="45" spans="1:5" ht="14.4" thickBot="1">
      <c r="A45" s="168" t="s">
        <v>306</v>
      </c>
      <c r="B45" s="189">
        <f>SUM(B46:B49)</f>
        <v>772720</v>
      </c>
      <c r="D45" s="132"/>
      <c r="E45" s="132"/>
    </row>
    <row r="46" spans="1:5" ht="13.8">
      <c r="A46" s="134" t="s">
        <v>139</v>
      </c>
      <c r="B46" s="135">
        <v>350000</v>
      </c>
      <c r="D46" s="132"/>
      <c r="E46" s="132"/>
    </row>
    <row r="47" spans="1:5" ht="13.8">
      <c r="A47" s="136" t="s">
        <v>140</v>
      </c>
      <c r="B47" s="133">
        <v>300000</v>
      </c>
      <c r="D47" s="132"/>
      <c r="E47" s="132"/>
    </row>
    <row r="48" spans="1:5" ht="13.8">
      <c r="A48" s="136" t="s">
        <v>141</v>
      </c>
      <c r="B48" s="133">
        <v>62720</v>
      </c>
      <c r="D48" s="132"/>
      <c r="E48" s="132"/>
    </row>
    <row r="49" spans="1:5" ht="28.2" thickBot="1">
      <c r="A49" s="137" t="s">
        <v>142</v>
      </c>
      <c r="B49" s="138">
        <v>60000</v>
      </c>
      <c r="D49" s="132"/>
      <c r="E49" s="132"/>
    </row>
    <row r="50" spans="1:5" ht="14.4" thickBot="1">
      <c r="A50" s="171" t="s">
        <v>143</v>
      </c>
      <c r="B50" s="164">
        <f>SUM(B51:B80)*2</f>
        <v>5103686</v>
      </c>
      <c r="D50" s="132"/>
      <c r="E50" s="132"/>
    </row>
    <row r="51" spans="1:5" ht="14.4" thickBot="1">
      <c r="A51" s="139" t="s">
        <v>325</v>
      </c>
      <c r="B51" s="203">
        <f>235200</f>
        <v>235200</v>
      </c>
      <c r="D51" s="190"/>
      <c r="E51" s="132"/>
    </row>
    <row r="52" spans="1:5" ht="14.4" thickBot="1">
      <c r="A52" s="140" t="s">
        <v>355</v>
      </c>
      <c r="B52" s="204">
        <v>204389</v>
      </c>
      <c r="D52" s="191"/>
      <c r="E52" s="132"/>
    </row>
    <row r="53" spans="1:5" ht="14.4" thickBot="1">
      <c r="A53" s="140" t="s">
        <v>356</v>
      </c>
      <c r="B53" s="204">
        <v>204389</v>
      </c>
      <c r="D53" s="191"/>
      <c r="E53" s="132"/>
    </row>
    <row r="54" spans="1:5" ht="14.4" thickBot="1">
      <c r="A54" s="140" t="s">
        <v>357</v>
      </c>
      <c r="B54" s="204">
        <v>78400</v>
      </c>
      <c r="D54" s="190"/>
      <c r="E54" s="132"/>
    </row>
    <row r="55" spans="1:5" ht="14.4" thickBot="1">
      <c r="A55" s="140" t="s">
        <v>358</v>
      </c>
      <c r="B55" s="204">
        <v>103488</v>
      </c>
      <c r="D55" s="190"/>
      <c r="E55" s="132"/>
    </row>
    <row r="56" spans="1:5" ht="14.4" thickBot="1">
      <c r="A56" s="140" t="s">
        <v>328</v>
      </c>
      <c r="B56" s="204">
        <v>48553</v>
      </c>
      <c r="D56" s="191"/>
      <c r="E56" s="132"/>
    </row>
    <row r="57" spans="1:5" ht="14.4" thickBot="1">
      <c r="A57" s="140" t="s">
        <v>329</v>
      </c>
      <c r="B57" s="204">
        <v>62713</v>
      </c>
      <c r="D57" s="191"/>
      <c r="E57" s="132"/>
    </row>
    <row r="58" spans="1:5" ht="14.4" thickBot="1">
      <c r="A58" s="140" t="s">
        <v>330</v>
      </c>
      <c r="B58" s="204">
        <v>14104</v>
      </c>
      <c r="D58" s="191"/>
      <c r="E58" s="132"/>
    </row>
    <row r="59" spans="1:5" ht="14.4" thickBot="1">
      <c r="A59" s="140" t="s">
        <v>331</v>
      </c>
      <c r="B59" s="204">
        <v>7832</v>
      </c>
      <c r="D59" s="191"/>
      <c r="E59" s="132"/>
    </row>
    <row r="60" spans="1:5" ht="14.4" thickBot="1">
      <c r="A60" s="140" t="s">
        <v>332</v>
      </c>
      <c r="B60" s="204">
        <v>22658</v>
      </c>
      <c r="D60" s="191"/>
      <c r="E60" s="132"/>
    </row>
    <row r="61" spans="1:5" ht="14.4" thickBot="1">
      <c r="A61" s="140" t="s">
        <v>333</v>
      </c>
      <c r="B61" s="204">
        <v>130262</v>
      </c>
      <c r="D61" s="191"/>
      <c r="E61" s="132"/>
    </row>
    <row r="62" spans="1:5" ht="14.4" thickBot="1">
      <c r="A62" s="140" t="s">
        <v>359</v>
      </c>
      <c r="B62" s="204">
        <v>46256</v>
      </c>
      <c r="D62" s="190"/>
      <c r="E62" s="132"/>
    </row>
    <row r="63" spans="1:5" ht="14.4" thickBot="1">
      <c r="A63" s="140" t="s">
        <v>360</v>
      </c>
      <c r="B63" s="204">
        <v>117600</v>
      </c>
      <c r="D63" s="190"/>
      <c r="E63" s="132"/>
    </row>
    <row r="64" spans="1:5" ht="14.4" thickBot="1">
      <c r="A64" s="140" t="s">
        <v>361</v>
      </c>
      <c r="B64" s="204">
        <v>47040</v>
      </c>
      <c r="D64" s="190"/>
      <c r="E64" s="132"/>
    </row>
    <row r="65" spans="1:5" ht="14.4" thickBot="1">
      <c r="A65" s="140" t="s">
        <v>362</v>
      </c>
      <c r="B65" s="204">
        <v>62712</v>
      </c>
      <c r="D65" s="191"/>
      <c r="E65" s="132"/>
    </row>
    <row r="66" spans="1:5" ht="14.4" thickBot="1">
      <c r="A66" s="140" t="s">
        <v>363</v>
      </c>
      <c r="B66" s="204">
        <v>42179</v>
      </c>
      <c r="D66" s="191"/>
      <c r="E66" s="132"/>
    </row>
    <row r="67" spans="1:5" ht="14.4" thickBot="1">
      <c r="A67" s="140" t="s">
        <v>364</v>
      </c>
      <c r="B67" s="204">
        <v>109682</v>
      </c>
      <c r="D67" s="191"/>
      <c r="E67" s="132"/>
    </row>
    <row r="68" spans="1:5" ht="14.4" thickBot="1">
      <c r="A68" s="140" t="s">
        <v>343</v>
      </c>
      <c r="B68" s="204">
        <v>2807</v>
      </c>
      <c r="D68" s="191"/>
      <c r="E68" s="132"/>
    </row>
    <row r="69" spans="1:5" ht="14.4" thickBot="1">
      <c r="A69" s="140" t="s">
        <v>344</v>
      </c>
      <c r="B69" s="204">
        <v>62093</v>
      </c>
      <c r="D69" s="191"/>
      <c r="E69" s="132"/>
    </row>
    <row r="70" spans="1:5" ht="14.4" thickBot="1">
      <c r="A70" s="140" t="s">
        <v>365</v>
      </c>
      <c r="B70" s="204">
        <v>23520</v>
      </c>
      <c r="D70" s="190"/>
      <c r="E70" s="132"/>
    </row>
    <row r="71" spans="1:5" ht="14.4" thickBot="1">
      <c r="A71" s="140" t="s">
        <v>366</v>
      </c>
      <c r="B71" s="204">
        <v>14645</v>
      </c>
      <c r="D71" s="191"/>
      <c r="E71" s="132"/>
    </row>
    <row r="72" spans="1:5" ht="14.4" thickBot="1">
      <c r="A72" s="141" t="s">
        <v>367</v>
      </c>
      <c r="B72" s="204">
        <v>85621</v>
      </c>
      <c r="D72" s="191"/>
      <c r="E72" s="132"/>
    </row>
    <row r="73" spans="1:5" ht="14.4" thickBot="1">
      <c r="A73" s="141" t="s">
        <v>368</v>
      </c>
      <c r="B73" s="204">
        <v>81207</v>
      </c>
      <c r="D73" s="191"/>
      <c r="E73" s="132"/>
    </row>
    <row r="74" spans="1:5" ht="14.4" thickBot="1">
      <c r="A74" s="141" t="s">
        <v>369</v>
      </c>
      <c r="B74" s="204">
        <v>212848</v>
      </c>
      <c r="D74" s="191"/>
      <c r="E74" s="132"/>
    </row>
    <row r="75" spans="1:5" ht="14.4" thickBot="1">
      <c r="A75" s="141" t="s">
        <v>370</v>
      </c>
      <c r="B75" s="204">
        <v>66287</v>
      </c>
      <c r="D75" s="191"/>
      <c r="E75" s="132"/>
    </row>
    <row r="76" spans="1:5" ht="14.4" thickBot="1">
      <c r="A76" s="141" t="s">
        <v>371</v>
      </c>
      <c r="B76" s="204">
        <v>62696</v>
      </c>
      <c r="D76" s="191"/>
      <c r="E76" s="132"/>
    </row>
    <row r="77" spans="1:5" ht="14.4" thickBot="1">
      <c r="A77" s="140" t="s">
        <v>372</v>
      </c>
      <c r="B77" s="204">
        <v>7526</v>
      </c>
      <c r="D77" s="191"/>
      <c r="E77" s="132"/>
    </row>
    <row r="78" spans="1:5" ht="14.4" thickBot="1">
      <c r="A78" s="140" t="s">
        <v>373</v>
      </c>
      <c r="B78" s="204">
        <v>183456</v>
      </c>
      <c r="D78" s="190"/>
      <c r="E78" s="132"/>
    </row>
    <row r="79" spans="1:5" ht="14.4" thickBot="1">
      <c r="A79" s="140" t="s">
        <v>353</v>
      </c>
      <c r="B79" s="204">
        <v>61152</v>
      </c>
      <c r="D79" s="190"/>
      <c r="E79" s="132"/>
    </row>
    <row r="80" spans="1:5" ht="14.4" thickBot="1">
      <c r="A80" s="142" t="s">
        <v>354</v>
      </c>
      <c r="B80" s="205">
        <v>150528</v>
      </c>
      <c r="D80" s="190"/>
      <c r="E80" s="132"/>
    </row>
    <row r="81" spans="1:5" ht="13.8">
      <c r="A81" s="172" t="s">
        <v>159</v>
      </c>
      <c r="B81" s="165">
        <f>SUM(B82:B112)*2</f>
        <v>6098488</v>
      </c>
      <c r="D81" s="132"/>
      <c r="E81" s="132"/>
    </row>
    <row r="82" spans="1:5" ht="13.8">
      <c r="A82" s="139" t="s">
        <v>325</v>
      </c>
      <c r="B82" s="206">
        <v>235200</v>
      </c>
      <c r="D82" s="132"/>
      <c r="E82" s="132"/>
    </row>
    <row r="83" spans="1:5" ht="13.8">
      <c r="A83" s="140" t="s">
        <v>326</v>
      </c>
      <c r="B83" s="204">
        <v>305290</v>
      </c>
      <c r="D83" s="132"/>
      <c r="E83" s="132"/>
    </row>
    <row r="84" spans="1:5" ht="13.8">
      <c r="A84" s="140" t="s">
        <v>160</v>
      </c>
      <c r="B84" s="204">
        <v>78400</v>
      </c>
      <c r="D84" s="132"/>
      <c r="E84" s="132"/>
    </row>
    <row r="85" spans="1:5" ht="13.8">
      <c r="A85" s="140" t="s">
        <v>327</v>
      </c>
      <c r="B85" s="204">
        <v>614656</v>
      </c>
      <c r="D85" s="132"/>
      <c r="E85" s="132"/>
    </row>
    <row r="86" spans="1:5" ht="13.8">
      <c r="A86" s="140" t="s">
        <v>328</v>
      </c>
      <c r="B86" s="204">
        <v>48553</v>
      </c>
      <c r="D86" s="132"/>
      <c r="E86" s="132"/>
    </row>
    <row r="87" spans="1:5" ht="13.8">
      <c r="A87" s="140" t="s">
        <v>329</v>
      </c>
      <c r="B87" s="204">
        <v>62712</v>
      </c>
      <c r="D87" s="132"/>
      <c r="E87" s="132"/>
    </row>
    <row r="88" spans="1:5" ht="13.8">
      <c r="A88" s="140" t="s">
        <v>330</v>
      </c>
      <c r="B88" s="204">
        <v>14104</v>
      </c>
      <c r="D88" s="132"/>
      <c r="E88" s="132"/>
    </row>
    <row r="89" spans="1:5" ht="13.8">
      <c r="A89" s="140" t="s">
        <v>331</v>
      </c>
      <c r="B89" s="204">
        <v>7832</v>
      </c>
      <c r="D89" s="132"/>
      <c r="E89" s="132"/>
    </row>
    <row r="90" spans="1:5" ht="13.8">
      <c r="A90" s="140" t="s">
        <v>332</v>
      </c>
      <c r="B90" s="204">
        <v>22658</v>
      </c>
      <c r="D90" s="132"/>
      <c r="E90" s="132"/>
    </row>
    <row r="91" spans="1:5" ht="13.8">
      <c r="A91" s="140" t="s">
        <v>333</v>
      </c>
      <c r="B91" s="204">
        <v>130262</v>
      </c>
      <c r="D91" s="132"/>
      <c r="E91" s="132"/>
    </row>
    <row r="92" spans="1:5" ht="13.8">
      <c r="A92" s="140" t="s">
        <v>334</v>
      </c>
      <c r="B92" s="204">
        <v>117600</v>
      </c>
      <c r="D92" s="132"/>
      <c r="E92" s="132"/>
    </row>
    <row r="93" spans="1:5" ht="13.8">
      <c r="A93" s="140" t="s">
        <v>335</v>
      </c>
      <c r="B93" s="204">
        <v>47040</v>
      </c>
      <c r="D93" s="132"/>
      <c r="E93" s="132"/>
    </row>
    <row r="94" spans="1:5" ht="13.8">
      <c r="A94" s="140" t="s">
        <v>336</v>
      </c>
      <c r="B94" s="204">
        <v>62712</v>
      </c>
      <c r="D94" s="132"/>
      <c r="E94" s="132"/>
    </row>
    <row r="95" spans="1:5" ht="13.8">
      <c r="A95" s="140" t="s">
        <v>337</v>
      </c>
      <c r="B95" s="204">
        <v>94056</v>
      </c>
      <c r="D95" s="132"/>
      <c r="E95" s="132"/>
    </row>
    <row r="96" spans="1:5" ht="13.8">
      <c r="A96" s="140" t="s">
        <v>338</v>
      </c>
      <c r="B96" s="204">
        <v>42179</v>
      </c>
      <c r="D96" s="132"/>
      <c r="E96" s="132"/>
    </row>
    <row r="97" spans="1:5" ht="13.8">
      <c r="A97" s="140" t="s">
        <v>339</v>
      </c>
      <c r="B97" s="204">
        <v>23959</v>
      </c>
      <c r="D97" s="132"/>
      <c r="E97" s="132"/>
    </row>
    <row r="98" spans="1:5" ht="13.8">
      <c r="A98" s="140" t="s">
        <v>340</v>
      </c>
      <c r="B98" s="204">
        <v>35907</v>
      </c>
      <c r="D98" s="132"/>
      <c r="E98" s="132"/>
    </row>
    <row r="99" spans="1:5" ht="13.8">
      <c r="A99" s="140" t="s">
        <v>341</v>
      </c>
      <c r="B99" s="204">
        <v>61168</v>
      </c>
      <c r="D99" s="132"/>
      <c r="E99" s="132"/>
    </row>
    <row r="100" spans="1:5" ht="13.8">
      <c r="A100" s="140" t="s">
        <v>342</v>
      </c>
      <c r="B100" s="204">
        <v>75970</v>
      </c>
      <c r="D100" s="132"/>
      <c r="E100" s="132"/>
    </row>
    <row r="101" spans="1:5" ht="13.8">
      <c r="A101" s="140" t="s">
        <v>343</v>
      </c>
      <c r="B101" s="204">
        <v>2807</v>
      </c>
      <c r="D101" s="132"/>
      <c r="E101" s="132"/>
    </row>
    <row r="102" spans="1:5" ht="13.8">
      <c r="A102" s="140" t="s">
        <v>344</v>
      </c>
      <c r="B102" s="204">
        <v>62093</v>
      </c>
      <c r="D102" s="132"/>
      <c r="E102" s="132"/>
    </row>
    <row r="103" spans="1:5" ht="13.8">
      <c r="A103" s="140" t="s">
        <v>345</v>
      </c>
      <c r="B103" s="204">
        <v>29902</v>
      </c>
      <c r="D103" s="132"/>
      <c r="E103" s="132"/>
    </row>
    <row r="104" spans="1:5" ht="13.8">
      <c r="A104" s="141" t="s">
        <v>346</v>
      </c>
      <c r="B104" s="204">
        <v>56934</v>
      </c>
      <c r="D104" s="132"/>
      <c r="E104" s="132"/>
    </row>
    <row r="105" spans="1:5" ht="13.8">
      <c r="A105" s="141" t="s">
        <v>347</v>
      </c>
      <c r="B105" s="204">
        <v>151908</v>
      </c>
      <c r="D105" s="132"/>
      <c r="E105" s="132"/>
    </row>
    <row r="106" spans="1:5" ht="13.8">
      <c r="A106" s="141" t="s">
        <v>348</v>
      </c>
      <c r="B106" s="204">
        <v>99842</v>
      </c>
      <c r="D106" s="132"/>
      <c r="E106" s="132"/>
    </row>
    <row r="107" spans="1:5" ht="13.8">
      <c r="A107" s="141" t="s">
        <v>349</v>
      </c>
      <c r="B107" s="204">
        <v>256533</v>
      </c>
      <c r="D107" s="132"/>
      <c r="E107" s="132"/>
    </row>
    <row r="108" spans="1:5" ht="13.8">
      <c r="A108" s="141" t="s">
        <v>350</v>
      </c>
      <c r="B108" s="204">
        <v>54198</v>
      </c>
      <c r="D108" s="132"/>
      <c r="E108" s="132"/>
    </row>
    <row r="109" spans="1:5" ht="13.8">
      <c r="A109" s="140" t="s">
        <v>351</v>
      </c>
      <c r="B109" s="204">
        <v>18628</v>
      </c>
      <c r="D109" s="132"/>
      <c r="E109" s="132"/>
    </row>
    <row r="110" spans="1:5" ht="13.8">
      <c r="A110" s="140" t="s">
        <v>352</v>
      </c>
      <c r="B110" s="204">
        <v>24461</v>
      </c>
      <c r="D110" s="132"/>
      <c r="E110" s="132"/>
    </row>
    <row r="111" spans="1:5" ht="13.8">
      <c r="A111" s="140" t="s">
        <v>353</v>
      </c>
      <c r="B111" s="204">
        <v>61152</v>
      </c>
      <c r="D111" s="132"/>
      <c r="E111" s="132"/>
    </row>
    <row r="112" spans="1:5" ht="14.4" thickBot="1">
      <c r="A112" s="140" t="s">
        <v>354</v>
      </c>
      <c r="B112" s="207">
        <v>150528</v>
      </c>
      <c r="D112" s="132"/>
      <c r="E112" s="132"/>
    </row>
    <row r="113" spans="1:5" ht="14.4" thickBot="1">
      <c r="A113" s="173" t="s">
        <v>166</v>
      </c>
      <c r="B113" s="166">
        <f>SUM(B114:B162)</f>
        <v>3727427</v>
      </c>
      <c r="D113" s="132"/>
      <c r="E113" s="132"/>
    </row>
    <row r="114" spans="1:5" ht="13.8">
      <c r="A114" s="143" t="s">
        <v>167</v>
      </c>
      <c r="B114" s="208">
        <v>235200</v>
      </c>
      <c r="D114" s="132"/>
      <c r="E114" s="132"/>
    </row>
    <row r="115" spans="1:5" ht="13.8">
      <c r="A115" s="143" t="s">
        <v>168</v>
      </c>
      <c r="B115" s="209">
        <v>227674</v>
      </c>
      <c r="D115" s="132"/>
      <c r="E115" s="132"/>
    </row>
    <row r="116" spans="1:5" ht="13.8">
      <c r="A116" s="143" t="s">
        <v>169</v>
      </c>
      <c r="B116" s="209">
        <v>681296</v>
      </c>
      <c r="D116" s="132"/>
      <c r="E116" s="132"/>
    </row>
    <row r="117" spans="1:5" ht="13.8">
      <c r="A117" s="143" t="s">
        <v>170</v>
      </c>
      <c r="B117" s="209">
        <v>86900</v>
      </c>
      <c r="D117" s="132"/>
      <c r="E117" s="132"/>
    </row>
    <row r="118" spans="1:5" ht="13.8">
      <c r="A118" s="143" t="s">
        <v>171</v>
      </c>
      <c r="B118" s="209">
        <v>112896</v>
      </c>
      <c r="D118" s="132"/>
      <c r="E118" s="132"/>
    </row>
    <row r="119" spans="1:5" ht="13.8">
      <c r="A119" s="143" t="s">
        <v>144</v>
      </c>
      <c r="B119" s="209">
        <v>62712</v>
      </c>
      <c r="D119" s="132"/>
      <c r="E119" s="132"/>
    </row>
    <row r="120" spans="1:5" ht="13.8">
      <c r="A120" s="143" t="s">
        <v>145</v>
      </c>
      <c r="B120" s="209">
        <v>14104</v>
      </c>
      <c r="D120" s="132"/>
      <c r="E120" s="132"/>
    </row>
    <row r="121" spans="1:5" ht="13.8">
      <c r="A121" s="143" t="s">
        <v>146</v>
      </c>
      <c r="B121" s="209">
        <v>7832</v>
      </c>
      <c r="D121" s="132"/>
      <c r="E121" s="132"/>
    </row>
    <row r="122" spans="1:5" ht="13.8">
      <c r="A122" s="143" t="s">
        <v>147</v>
      </c>
      <c r="B122" s="209">
        <v>22658</v>
      </c>
      <c r="D122" s="132"/>
      <c r="E122" s="132"/>
    </row>
    <row r="123" spans="1:5" ht="13.8">
      <c r="A123" s="143" t="s">
        <v>172</v>
      </c>
      <c r="B123" s="209">
        <v>78384</v>
      </c>
      <c r="D123" s="132"/>
      <c r="E123" s="132"/>
    </row>
    <row r="124" spans="1:5" ht="13.8">
      <c r="A124" s="143" t="s">
        <v>148</v>
      </c>
      <c r="B124" s="209">
        <v>117600</v>
      </c>
      <c r="D124" s="132"/>
      <c r="E124" s="132"/>
    </row>
    <row r="125" spans="1:5" ht="13.8">
      <c r="A125" s="143" t="s">
        <v>150</v>
      </c>
      <c r="B125" s="209">
        <v>62712</v>
      </c>
      <c r="D125" s="132"/>
      <c r="E125" s="132"/>
    </row>
    <row r="126" spans="1:5" ht="13.8">
      <c r="A126" s="143" t="s">
        <v>161</v>
      </c>
      <c r="B126" s="209">
        <v>42179</v>
      </c>
      <c r="D126" s="132"/>
      <c r="E126" s="132"/>
    </row>
    <row r="127" spans="1:5" ht="13.8">
      <c r="A127" s="143" t="s">
        <v>173</v>
      </c>
      <c r="B127" s="209">
        <v>27432</v>
      </c>
      <c r="D127" s="132"/>
      <c r="E127" s="132"/>
    </row>
    <row r="128" spans="1:5" ht="13.8">
      <c r="A128" s="143" t="s">
        <v>151</v>
      </c>
      <c r="B128" s="209">
        <v>109682</v>
      </c>
      <c r="D128" s="132"/>
      <c r="E128" s="132"/>
    </row>
    <row r="129" spans="1:5" ht="13.8">
      <c r="A129" s="143" t="s">
        <v>162</v>
      </c>
      <c r="B129" s="209">
        <v>35907</v>
      </c>
      <c r="D129" s="132"/>
      <c r="E129" s="132"/>
    </row>
    <row r="130" spans="1:5" ht="13.8">
      <c r="A130" s="143" t="s">
        <v>149</v>
      </c>
      <c r="B130" s="209">
        <v>47040</v>
      </c>
      <c r="D130" s="132"/>
      <c r="E130" s="132"/>
    </row>
    <row r="131" spans="1:5" ht="13.8">
      <c r="A131" s="143" t="s">
        <v>152</v>
      </c>
      <c r="B131" s="209">
        <v>2807</v>
      </c>
      <c r="D131" s="132"/>
      <c r="E131" s="132"/>
    </row>
    <row r="132" spans="1:5" ht="13.8">
      <c r="A132" s="143" t="s">
        <v>153</v>
      </c>
      <c r="B132" s="209">
        <v>62093</v>
      </c>
      <c r="D132" s="132"/>
      <c r="E132" s="132"/>
    </row>
    <row r="133" spans="1:5" ht="13.8">
      <c r="A133" s="143" t="s">
        <v>154</v>
      </c>
      <c r="B133" s="209">
        <v>23520</v>
      </c>
      <c r="D133" s="132"/>
      <c r="E133" s="132"/>
    </row>
    <row r="134" spans="1:5" ht="13.8">
      <c r="A134" s="143" t="s">
        <v>155</v>
      </c>
      <c r="B134" s="209">
        <v>14645</v>
      </c>
      <c r="D134" s="132"/>
      <c r="E134" s="132"/>
    </row>
    <row r="135" spans="1:5" ht="13.8">
      <c r="A135" s="144" t="s">
        <v>174</v>
      </c>
      <c r="B135" s="210">
        <v>14018</v>
      </c>
      <c r="D135" s="132"/>
      <c r="E135" s="132"/>
    </row>
    <row r="136" spans="1:5" ht="13.8">
      <c r="A136" s="144" t="s">
        <v>175</v>
      </c>
      <c r="B136" s="210">
        <v>10184</v>
      </c>
      <c r="D136" s="132"/>
      <c r="E136" s="132"/>
    </row>
    <row r="137" spans="1:5" ht="13.8">
      <c r="A137" s="144" t="s">
        <v>176</v>
      </c>
      <c r="B137" s="210">
        <v>18338</v>
      </c>
      <c r="D137" s="132"/>
      <c r="E137" s="132"/>
    </row>
    <row r="138" spans="1:5" ht="13.8">
      <c r="A138" s="145" t="s">
        <v>177</v>
      </c>
      <c r="B138" s="211">
        <v>4688</v>
      </c>
      <c r="D138" s="132"/>
      <c r="E138" s="132"/>
    </row>
    <row r="139" spans="1:5" ht="13.8">
      <c r="A139" s="145" t="s">
        <v>178</v>
      </c>
      <c r="B139" s="211">
        <v>39192</v>
      </c>
      <c r="D139" s="132"/>
      <c r="E139" s="132"/>
    </row>
    <row r="140" spans="1:5" ht="13.8">
      <c r="A140" s="145" t="s">
        <v>179</v>
      </c>
      <c r="B140" s="211">
        <v>23504</v>
      </c>
      <c r="D140" s="132"/>
      <c r="E140" s="132"/>
    </row>
    <row r="141" spans="1:5" ht="13.8">
      <c r="A141" s="146" t="s">
        <v>180</v>
      </c>
      <c r="B141" s="211">
        <v>47024</v>
      </c>
      <c r="D141" s="132"/>
      <c r="E141" s="132"/>
    </row>
    <row r="142" spans="1:5" ht="13.8">
      <c r="A142" s="147" t="s">
        <v>181</v>
      </c>
      <c r="B142" s="211">
        <v>23512</v>
      </c>
      <c r="D142" s="132"/>
      <c r="E142" s="132"/>
    </row>
    <row r="143" spans="1:5" ht="13.8">
      <c r="A143" s="147" t="s">
        <v>182</v>
      </c>
      <c r="B143" s="211">
        <v>14104</v>
      </c>
      <c r="D143" s="132"/>
      <c r="E143" s="132"/>
    </row>
    <row r="144" spans="1:5" ht="13.8">
      <c r="A144" s="147" t="s">
        <v>183</v>
      </c>
      <c r="B144" s="211">
        <v>54872</v>
      </c>
      <c r="D144" s="132"/>
      <c r="E144" s="132"/>
    </row>
    <row r="145" spans="1:5" ht="13.8">
      <c r="A145" s="147" t="s">
        <v>184</v>
      </c>
      <c r="B145" s="211">
        <v>23512</v>
      </c>
      <c r="D145" s="132"/>
      <c r="E145" s="132"/>
    </row>
    <row r="146" spans="1:5" ht="13.8">
      <c r="A146" s="148" t="s">
        <v>185</v>
      </c>
      <c r="B146" s="211">
        <v>62665</v>
      </c>
      <c r="D146" s="132"/>
      <c r="E146" s="132"/>
    </row>
    <row r="147" spans="1:5" ht="13.8">
      <c r="A147" s="148" t="s">
        <v>186</v>
      </c>
      <c r="B147" s="211">
        <v>11713</v>
      </c>
      <c r="D147" s="132"/>
      <c r="E147" s="132"/>
    </row>
    <row r="148" spans="1:5" ht="13.8">
      <c r="A148" s="147" t="s">
        <v>187</v>
      </c>
      <c r="B148" s="211">
        <v>10968</v>
      </c>
      <c r="D148" s="132"/>
      <c r="E148" s="132"/>
    </row>
    <row r="149" spans="1:5" ht="13.8">
      <c r="A149" s="147" t="s">
        <v>188</v>
      </c>
      <c r="B149" s="211">
        <v>3128</v>
      </c>
      <c r="D149" s="132"/>
      <c r="E149" s="132"/>
    </row>
    <row r="150" spans="1:5" ht="13.8">
      <c r="A150" s="149" t="s">
        <v>189</v>
      </c>
      <c r="B150" s="212">
        <v>58181</v>
      </c>
      <c r="D150" s="132"/>
      <c r="E150" s="132"/>
    </row>
    <row r="151" spans="1:5" ht="13.8">
      <c r="A151" s="149" t="s">
        <v>190</v>
      </c>
      <c r="B151" s="212">
        <v>176322</v>
      </c>
      <c r="D151" s="132"/>
      <c r="E151" s="132"/>
    </row>
    <row r="152" spans="1:5" ht="13.8">
      <c r="A152" s="149" t="s">
        <v>191</v>
      </c>
      <c r="B152" s="212">
        <v>121120</v>
      </c>
      <c r="D152" s="132"/>
      <c r="E152" s="132"/>
    </row>
    <row r="153" spans="1:5" ht="13.8">
      <c r="A153" s="149" t="s">
        <v>192</v>
      </c>
      <c r="B153" s="212">
        <v>268864</v>
      </c>
      <c r="D153" s="132"/>
      <c r="E153" s="132"/>
    </row>
    <row r="154" spans="1:5" ht="13.8">
      <c r="A154" s="149" t="s">
        <v>193</v>
      </c>
      <c r="B154" s="212">
        <v>39036</v>
      </c>
      <c r="D154" s="132"/>
      <c r="E154" s="132"/>
    </row>
    <row r="155" spans="1:5" ht="13.8">
      <c r="A155" s="149" t="s">
        <v>194</v>
      </c>
      <c r="B155" s="212">
        <v>68820</v>
      </c>
      <c r="D155" s="132"/>
      <c r="E155" s="132"/>
    </row>
    <row r="156" spans="1:5" ht="13.8">
      <c r="A156" s="150" t="s">
        <v>195</v>
      </c>
      <c r="B156" s="212">
        <v>4445</v>
      </c>
      <c r="D156" s="132"/>
      <c r="E156" s="132"/>
    </row>
    <row r="157" spans="1:5" ht="13.8">
      <c r="A157" s="150" t="s">
        <v>164</v>
      </c>
      <c r="B157" s="212">
        <v>18628</v>
      </c>
      <c r="D157" s="132"/>
      <c r="E157" s="132"/>
    </row>
    <row r="158" spans="1:5" ht="13.8">
      <c r="A158" s="150" t="s">
        <v>156</v>
      </c>
      <c r="B158" s="212">
        <v>205095</v>
      </c>
      <c r="D158" s="132"/>
      <c r="E158" s="132"/>
    </row>
    <row r="159" spans="1:5" ht="13.8">
      <c r="A159" s="150" t="s">
        <v>196</v>
      </c>
      <c r="B159" s="212">
        <v>94080</v>
      </c>
      <c r="D159" s="132"/>
      <c r="E159" s="132"/>
    </row>
    <row r="160" spans="1:5" ht="13.8">
      <c r="A160" s="150" t="s">
        <v>165</v>
      </c>
      <c r="B160" s="212">
        <v>24461</v>
      </c>
      <c r="D160" s="132"/>
      <c r="E160" s="132"/>
    </row>
    <row r="161" spans="1:5" ht="13.8">
      <c r="A161" s="150" t="s">
        <v>157</v>
      </c>
      <c r="B161" s="212">
        <v>61152</v>
      </c>
      <c r="D161" s="132"/>
      <c r="E161" s="132"/>
    </row>
    <row r="162" spans="1:5" ht="14.4" thickBot="1">
      <c r="A162" s="150" t="s">
        <v>158</v>
      </c>
      <c r="B162" s="213">
        <v>150528</v>
      </c>
      <c r="D162" s="132"/>
      <c r="E162" s="132"/>
    </row>
    <row r="163" spans="1:5" ht="14.4" thickBot="1">
      <c r="A163" s="173" t="s">
        <v>197</v>
      </c>
      <c r="B163" s="163">
        <f>+SUM(B164:B171)</f>
        <v>415609</v>
      </c>
      <c r="D163" s="132"/>
      <c r="E163" s="132"/>
    </row>
    <row r="164" spans="1:5" ht="13.8">
      <c r="A164" s="151" t="s">
        <v>198</v>
      </c>
      <c r="B164" s="214">
        <v>93688</v>
      </c>
      <c r="D164" s="132"/>
      <c r="E164" s="132"/>
    </row>
    <row r="165" spans="1:5" ht="13.8">
      <c r="A165" s="151" t="s">
        <v>199</v>
      </c>
      <c r="B165" s="209">
        <v>83872</v>
      </c>
      <c r="D165" s="132"/>
      <c r="E165" s="132"/>
    </row>
    <row r="166" spans="1:5" ht="13.8">
      <c r="A166" s="151" t="s">
        <v>200</v>
      </c>
      <c r="B166" s="212">
        <v>23512</v>
      </c>
      <c r="D166" s="132"/>
      <c r="E166" s="132"/>
    </row>
    <row r="167" spans="1:5" ht="13.8">
      <c r="A167" s="151" t="s">
        <v>201</v>
      </c>
      <c r="B167" s="212">
        <v>18738</v>
      </c>
      <c r="D167" s="132"/>
      <c r="E167" s="132"/>
    </row>
    <row r="168" spans="1:5" ht="13.8">
      <c r="A168" s="151" t="s">
        <v>202</v>
      </c>
      <c r="B168" s="212">
        <v>32272</v>
      </c>
      <c r="D168" s="132"/>
      <c r="E168" s="132"/>
    </row>
    <row r="169" spans="1:5" ht="13.8">
      <c r="A169" s="151" t="s">
        <v>203</v>
      </c>
      <c r="B169" s="209">
        <v>11431</v>
      </c>
      <c r="D169" s="132"/>
      <c r="E169" s="132"/>
    </row>
    <row r="170" spans="1:5" ht="13.8">
      <c r="A170" s="151" t="s">
        <v>204</v>
      </c>
      <c r="B170" s="212">
        <v>35280</v>
      </c>
      <c r="C170" s="4"/>
      <c r="D170" s="132"/>
      <c r="E170" s="132"/>
    </row>
    <row r="171" spans="1:5" ht="14.4" thickBot="1">
      <c r="A171" s="151" t="s">
        <v>205</v>
      </c>
      <c r="B171" s="212">
        <v>116816</v>
      </c>
      <c r="D171" s="132"/>
      <c r="E171" s="132"/>
    </row>
    <row r="172" spans="1:5" ht="14.4" thickBot="1">
      <c r="A172" s="170" t="s">
        <v>77</v>
      </c>
      <c r="B172" s="163">
        <f>+SUM(B173:B193)</f>
        <v>146387</v>
      </c>
      <c r="D172" s="132"/>
      <c r="E172" s="132"/>
    </row>
    <row r="173" spans="1:5" ht="13.8">
      <c r="A173" s="151" t="s">
        <v>206</v>
      </c>
      <c r="B173" s="215">
        <v>5433</v>
      </c>
      <c r="D173" s="132"/>
      <c r="E173" s="132"/>
    </row>
    <row r="174" spans="1:5" ht="13.8">
      <c r="A174" s="151" t="s">
        <v>207</v>
      </c>
      <c r="B174" s="211">
        <v>7244</v>
      </c>
      <c r="D174" s="132"/>
      <c r="E174" s="132"/>
    </row>
    <row r="175" spans="1:5" ht="13.8">
      <c r="A175" s="151" t="s">
        <v>208</v>
      </c>
      <c r="B175" s="211">
        <v>1811</v>
      </c>
      <c r="D175" s="132"/>
      <c r="E175" s="132"/>
    </row>
    <row r="176" spans="1:5" ht="13.8">
      <c r="A176" s="151" t="s">
        <v>209</v>
      </c>
      <c r="B176" s="211">
        <v>1811</v>
      </c>
      <c r="D176" s="132"/>
      <c r="E176" s="132"/>
    </row>
    <row r="177" spans="1:5" ht="13.8">
      <c r="A177" s="151" t="s">
        <v>210</v>
      </c>
      <c r="B177" s="211">
        <v>1811</v>
      </c>
      <c r="D177" s="132"/>
      <c r="E177" s="132"/>
    </row>
    <row r="178" spans="1:5" ht="13.8">
      <c r="A178" s="151" t="s">
        <v>211</v>
      </c>
      <c r="B178" s="211">
        <v>1811</v>
      </c>
      <c r="D178" s="132"/>
      <c r="E178" s="132"/>
    </row>
    <row r="179" spans="1:5" ht="13.8">
      <c r="A179" s="151" t="s">
        <v>212</v>
      </c>
      <c r="B179" s="211">
        <v>1811</v>
      </c>
      <c r="D179" s="132"/>
      <c r="E179" s="132"/>
    </row>
    <row r="180" spans="1:5" ht="13.8">
      <c r="A180" s="151" t="s">
        <v>213</v>
      </c>
      <c r="B180" s="211">
        <v>1818</v>
      </c>
      <c r="D180" s="132"/>
      <c r="E180" s="132"/>
    </row>
    <row r="181" spans="1:5" ht="13.8">
      <c r="A181" s="151" t="s">
        <v>214</v>
      </c>
      <c r="B181" s="211">
        <v>25872</v>
      </c>
      <c r="D181" s="132"/>
      <c r="E181" s="132"/>
    </row>
    <row r="182" spans="1:5" ht="13.8">
      <c r="A182" s="151" t="s">
        <v>215</v>
      </c>
      <c r="B182" s="210">
        <v>12372</v>
      </c>
      <c r="D182" s="132"/>
      <c r="E182" s="132"/>
    </row>
    <row r="183" spans="1:5" ht="13.8">
      <c r="A183" s="151" t="s">
        <v>216</v>
      </c>
      <c r="B183" s="211">
        <v>3136</v>
      </c>
      <c r="D183" s="132"/>
      <c r="E183" s="132"/>
    </row>
    <row r="184" spans="1:5" ht="13.8">
      <c r="A184" s="151" t="s">
        <v>217</v>
      </c>
      <c r="B184" s="211">
        <v>11760</v>
      </c>
      <c r="D184" s="132"/>
      <c r="E184" s="132"/>
    </row>
    <row r="185" spans="1:5" ht="13.8">
      <c r="A185" s="151" t="s">
        <v>218</v>
      </c>
      <c r="B185" s="211">
        <v>2979</v>
      </c>
      <c r="D185" s="132"/>
      <c r="E185" s="132"/>
    </row>
    <row r="186" spans="1:5" ht="13.8">
      <c r="A186" s="151" t="s">
        <v>219</v>
      </c>
      <c r="B186" s="210">
        <v>13265</v>
      </c>
      <c r="D186" s="132"/>
      <c r="E186" s="132"/>
    </row>
    <row r="187" spans="1:5" ht="13.8">
      <c r="A187" s="151" t="s">
        <v>220</v>
      </c>
      <c r="B187" s="210">
        <v>15586</v>
      </c>
      <c r="D187" s="132"/>
      <c r="E187" s="132"/>
    </row>
    <row r="188" spans="1:5" ht="13.8">
      <c r="A188" s="151" t="s">
        <v>221</v>
      </c>
      <c r="B188" s="210">
        <v>9251</v>
      </c>
      <c r="D188" s="132"/>
      <c r="E188" s="132"/>
    </row>
    <row r="189" spans="1:5" ht="13.8">
      <c r="A189" s="151" t="s">
        <v>222</v>
      </c>
      <c r="B189" s="210">
        <v>4516</v>
      </c>
      <c r="D189" s="132"/>
      <c r="E189" s="132"/>
    </row>
    <row r="190" spans="1:5" ht="13.8">
      <c r="A190" s="151" t="s">
        <v>223</v>
      </c>
      <c r="B190" s="210">
        <v>10192</v>
      </c>
      <c r="D190" s="132"/>
      <c r="E190" s="132"/>
    </row>
    <row r="191" spans="1:5" ht="13.8">
      <c r="A191" s="151" t="s">
        <v>224</v>
      </c>
      <c r="B191" s="210">
        <v>5645</v>
      </c>
      <c r="D191" s="132"/>
      <c r="E191" s="132"/>
    </row>
    <row r="192" spans="1:5" ht="13.8">
      <c r="A192" s="151" t="s">
        <v>225</v>
      </c>
      <c r="B192" s="210">
        <v>2822</v>
      </c>
      <c r="D192" s="132"/>
      <c r="E192" s="132"/>
    </row>
    <row r="193" spans="1:5" ht="14.4" thickBot="1">
      <c r="A193" s="151" t="s">
        <v>226</v>
      </c>
      <c r="B193" s="216">
        <v>5441</v>
      </c>
      <c r="D193" s="132"/>
      <c r="E193" s="132"/>
    </row>
    <row r="194" spans="1:5" ht="14.4" thickBot="1">
      <c r="A194" s="173" t="s">
        <v>227</v>
      </c>
      <c r="B194" s="166">
        <f>SUM(B195:B208)</f>
        <v>2011038</v>
      </c>
      <c r="D194" s="132"/>
      <c r="E194" s="132"/>
    </row>
    <row r="195" spans="1:5" ht="13.8">
      <c r="A195" s="152" t="s">
        <v>228</v>
      </c>
      <c r="B195" s="135">
        <f>9408*45</f>
        <v>423360</v>
      </c>
      <c r="D195" s="132"/>
      <c r="E195" s="132"/>
    </row>
    <row r="196" spans="1:5" ht="13.8">
      <c r="A196" s="152" t="s">
        <v>229</v>
      </c>
      <c r="B196" s="153">
        <f>6272*45</f>
        <v>282240</v>
      </c>
      <c r="D196" s="132"/>
      <c r="E196" s="132"/>
    </row>
    <row r="197" spans="1:5" ht="13.8">
      <c r="A197" s="154" t="s">
        <v>230</v>
      </c>
      <c r="B197" s="209">
        <v>186341</v>
      </c>
      <c r="D197" s="132"/>
      <c r="E197" s="132"/>
    </row>
    <row r="198" spans="1:5" ht="13.8">
      <c r="A198" s="154" t="s">
        <v>231</v>
      </c>
      <c r="B198" s="209">
        <v>122226</v>
      </c>
      <c r="D198" s="132"/>
      <c r="E198" s="132"/>
    </row>
    <row r="199" spans="1:5" ht="13.8">
      <c r="A199" s="154" t="s">
        <v>232</v>
      </c>
      <c r="B199" s="209">
        <v>87808</v>
      </c>
      <c r="D199" s="132"/>
      <c r="E199" s="132"/>
    </row>
    <row r="200" spans="1:5" ht="13.8">
      <c r="A200" s="154" t="s">
        <v>233</v>
      </c>
      <c r="B200" s="209">
        <v>54865</v>
      </c>
      <c r="D200" s="132"/>
      <c r="E200" s="132"/>
    </row>
    <row r="201" spans="1:5" ht="13.8">
      <c r="A201" s="154" t="s">
        <v>234</v>
      </c>
      <c r="B201" s="209">
        <v>14394</v>
      </c>
      <c r="D201" s="132"/>
      <c r="E201" s="132"/>
    </row>
    <row r="202" spans="1:5" ht="13.8">
      <c r="A202" s="154" t="s">
        <v>235</v>
      </c>
      <c r="B202" s="212">
        <v>7479</v>
      </c>
      <c r="D202" s="132"/>
      <c r="E202" s="132"/>
    </row>
    <row r="203" spans="1:5" ht="13.8">
      <c r="A203" s="154" t="s">
        <v>236</v>
      </c>
      <c r="B203" s="209">
        <v>359072</v>
      </c>
      <c r="D203" s="132"/>
      <c r="E203" s="132"/>
    </row>
    <row r="204" spans="1:5" ht="13.8">
      <c r="A204" s="154" t="s">
        <v>237</v>
      </c>
      <c r="B204" s="212">
        <v>297912</v>
      </c>
      <c r="D204" s="132"/>
      <c r="E204" s="132"/>
    </row>
    <row r="205" spans="1:5" ht="13.8">
      <c r="A205" s="154" t="s">
        <v>238</v>
      </c>
      <c r="B205" s="212">
        <v>15601</v>
      </c>
      <c r="D205" s="132"/>
      <c r="E205" s="132"/>
    </row>
    <row r="206" spans="1:5" ht="13.8">
      <c r="A206" s="154" t="s">
        <v>239</v>
      </c>
      <c r="B206" s="212">
        <v>82313</v>
      </c>
      <c r="D206" s="132"/>
      <c r="E206" s="132"/>
    </row>
    <row r="207" spans="1:5" ht="13.8">
      <c r="A207" s="154" t="s">
        <v>240</v>
      </c>
      <c r="B207" s="209">
        <v>68145</v>
      </c>
      <c r="D207" s="132"/>
      <c r="E207" s="132"/>
    </row>
    <row r="208" spans="1:5" ht="14.4" thickBot="1">
      <c r="A208" s="155" t="s">
        <v>241</v>
      </c>
      <c r="B208" s="217">
        <v>9282</v>
      </c>
      <c r="D208" s="132"/>
      <c r="E208" s="132"/>
    </row>
    <row r="209" spans="1:5" ht="14.4" thickBot="1">
      <c r="A209" s="170" t="s">
        <v>64</v>
      </c>
      <c r="B209" s="163">
        <f>SUM(B210:B226)</f>
        <v>2947625</v>
      </c>
      <c r="D209" s="132"/>
      <c r="E209" s="132"/>
    </row>
    <row r="210" spans="1:5" ht="13.8">
      <c r="A210" s="156" t="s">
        <v>242</v>
      </c>
      <c r="B210" s="135">
        <v>117600</v>
      </c>
      <c r="D210" s="132"/>
      <c r="E210" s="132"/>
    </row>
    <row r="211" spans="1:5" ht="13.8">
      <c r="A211" s="156" t="s">
        <v>243</v>
      </c>
      <c r="B211" s="133">
        <v>125440</v>
      </c>
      <c r="D211" s="132"/>
      <c r="E211" s="132"/>
    </row>
    <row r="212" spans="1:5" ht="13.8">
      <c r="A212" s="156" t="s">
        <v>244</v>
      </c>
      <c r="B212" s="133">
        <v>71657</v>
      </c>
      <c r="D212" s="132"/>
      <c r="E212" s="132"/>
    </row>
    <row r="213" spans="1:5" ht="13.8">
      <c r="A213" s="157" t="s">
        <v>245</v>
      </c>
      <c r="B213" s="133">
        <v>15680</v>
      </c>
      <c r="D213" s="132"/>
      <c r="E213" s="132"/>
    </row>
    <row r="214" spans="1:5" ht="13.8">
      <c r="A214" s="157" t="s">
        <v>246</v>
      </c>
      <c r="B214" s="133">
        <v>117600</v>
      </c>
      <c r="D214" s="132"/>
      <c r="E214" s="132"/>
    </row>
    <row r="215" spans="1:5" ht="13.8">
      <c r="A215" s="151" t="s">
        <v>247</v>
      </c>
      <c r="B215" s="211">
        <v>493920</v>
      </c>
      <c r="D215" s="132"/>
      <c r="E215" s="132"/>
    </row>
    <row r="216" spans="1:5" ht="13.8">
      <c r="A216" s="151" t="s">
        <v>248</v>
      </c>
      <c r="B216" s="212">
        <v>199606</v>
      </c>
      <c r="D216" s="132"/>
      <c r="E216" s="132"/>
    </row>
    <row r="217" spans="1:5" ht="13.8">
      <c r="A217" s="151" t="s">
        <v>249</v>
      </c>
      <c r="B217" s="212">
        <v>121551</v>
      </c>
      <c r="D217" s="132"/>
      <c r="E217" s="132"/>
    </row>
    <row r="218" spans="1:5" ht="13.8">
      <c r="A218" s="151" t="s">
        <v>250</v>
      </c>
      <c r="B218" s="212">
        <v>172480</v>
      </c>
      <c r="D218" s="132"/>
      <c r="E218" s="132"/>
    </row>
    <row r="219" spans="1:5" ht="13.8">
      <c r="A219" s="151" t="s">
        <v>251</v>
      </c>
      <c r="B219" s="212">
        <v>240594</v>
      </c>
      <c r="D219" s="132"/>
      <c r="E219" s="132"/>
    </row>
    <row r="220" spans="1:5" ht="13.8">
      <c r="A220" s="151" t="s">
        <v>252</v>
      </c>
      <c r="B220" s="212">
        <v>57232</v>
      </c>
      <c r="D220" s="132"/>
      <c r="E220" s="132"/>
    </row>
    <row r="221" spans="1:5" ht="13.8">
      <c r="A221" s="151" t="s">
        <v>253</v>
      </c>
      <c r="B221" s="211">
        <v>235200</v>
      </c>
      <c r="D221" s="132"/>
      <c r="E221" s="132"/>
    </row>
    <row r="222" spans="1:5" ht="13.8">
      <c r="A222" s="151" t="s">
        <v>254</v>
      </c>
      <c r="B222" s="212">
        <v>68184</v>
      </c>
      <c r="D222" s="132"/>
      <c r="E222" s="132"/>
    </row>
    <row r="223" spans="1:5" ht="13.8">
      <c r="A223" s="151" t="s">
        <v>255</v>
      </c>
      <c r="B223" s="211">
        <v>205400</v>
      </c>
      <c r="D223" s="132"/>
      <c r="E223" s="132"/>
    </row>
    <row r="224" spans="1:5" ht="13.8">
      <c r="A224" s="151" t="s">
        <v>163</v>
      </c>
      <c r="B224" s="211">
        <v>29901</v>
      </c>
      <c r="D224" s="132"/>
      <c r="E224" s="132"/>
    </row>
    <row r="225" spans="1:5" ht="13.8">
      <c r="A225" s="158" t="s">
        <v>256</v>
      </c>
      <c r="B225" s="212">
        <v>252228</v>
      </c>
      <c r="D225" s="132"/>
      <c r="E225" s="132"/>
    </row>
    <row r="226" spans="1:5" ht="14.4" thickBot="1">
      <c r="A226" s="158" t="s">
        <v>257</v>
      </c>
      <c r="B226" s="213">
        <v>423352</v>
      </c>
      <c r="D226" s="132"/>
      <c r="E226" s="132"/>
    </row>
    <row r="227" spans="1:5" ht="14.4" thickBot="1">
      <c r="A227" s="174" t="s">
        <v>65</v>
      </c>
      <c r="B227" s="167">
        <f>SUM(B228:B235)</f>
        <v>1118993</v>
      </c>
      <c r="D227" s="132"/>
      <c r="E227" s="132"/>
    </row>
    <row r="228" spans="1:5" ht="13.8">
      <c r="A228" s="156" t="s">
        <v>258</v>
      </c>
      <c r="B228" s="218">
        <v>146608</v>
      </c>
      <c r="D228" s="132"/>
      <c r="E228" s="132"/>
    </row>
    <row r="229" spans="1:5" ht="13.8">
      <c r="A229" s="156" t="s">
        <v>259</v>
      </c>
      <c r="B229" s="218">
        <v>36159</v>
      </c>
      <c r="D229" s="132"/>
      <c r="E229" s="132"/>
    </row>
    <row r="230" spans="1:5" ht="13.8">
      <c r="A230" s="156" t="s">
        <v>260</v>
      </c>
      <c r="B230" s="218">
        <v>117600</v>
      </c>
      <c r="D230" s="132"/>
      <c r="E230" s="132"/>
    </row>
    <row r="231" spans="1:5" ht="13.8">
      <c r="A231" s="156" t="s">
        <v>261</v>
      </c>
      <c r="B231" s="218">
        <v>68208</v>
      </c>
      <c r="D231" s="132"/>
      <c r="E231" s="132"/>
    </row>
    <row r="232" spans="1:5" ht="13.8">
      <c r="A232" s="157" t="s">
        <v>262</v>
      </c>
      <c r="B232" s="218">
        <v>117600</v>
      </c>
      <c r="D232" s="132"/>
      <c r="E232" s="132"/>
    </row>
    <row r="233" spans="1:5" ht="13.8">
      <c r="A233" s="157" t="s">
        <v>263</v>
      </c>
      <c r="B233" s="218">
        <v>22846</v>
      </c>
      <c r="D233" s="132"/>
      <c r="E233" s="132"/>
    </row>
    <row r="234" spans="1:5" ht="13.8">
      <c r="A234" s="157" t="s">
        <v>264</v>
      </c>
      <c r="B234" s="218">
        <f>54*(6374+4704)</f>
        <v>598212</v>
      </c>
      <c r="D234" s="132"/>
      <c r="E234" s="132"/>
    </row>
    <row r="235" spans="1:5" ht="14.4" thickBot="1">
      <c r="A235" s="157" t="s">
        <v>265</v>
      </c>
      <c r="B235" s="218">
        <v>11760</v>
      </c>
      <c r="D235" s="132"/>
      <c r="E235" s="132"/>
    </row>
    <row r="236" spans="1:5" ht="14.4" thickBot="1">
      <c r="A236" s="173" t="s">
        <v>266</v>
      </c>
      <c r="B236" s="162">
        <f>SUM(B237:B250)</f>
        <v>1390196</v>
      </c>
      <c r="D236" s="132"/>
      <c r="E236" s="132"/>
    </row>
    <row r="237" spans="1:5" ht="13.8">
      <c r="A237" s="151" t="s">
        <v>267</v>
      </c>
      <c r="B237" s="208">
        <v>699328</v>
      </c>
      <c r="D237" s="132"/>
      <c r="E237" s="132"/>
    </row>
    <row r="238" spans="1:5" ht="13.8">
      <c r="A238" s="151" t="s">
        <v>268</v>
      </c>
      <c r="B238" s="209">
        <v>64507</v>
      </c>
      <c r="D238" s="132"/>
      <c r="E238" s="132"/>
    </row>
    <row r="239" spans="1:5" ht="13.8">
      <c r="A239" s="151" t="s">
        <v>269</v>
      </c>
      <c r="B239" s="209">
        <v>18785</v>
      </c>
      <c r="D239" s="132"/>
      <c r="E239" s="132"/>
    </row>
    <row r="240" spans="1:5" ht="13.8">
      <c r="A240" s="151" t="s">
        <v>270</v>
      </c>
      <c r="B240" s="212">
        <v>5629</v>
      </c>
      <c r="D240" s="132"/>
      <c r="E240" s="132"/>
    </row>
    <row r="241" spans="1:5" ht="13.8">
      <c r="A241" s="159" t="s">
        <v>271</v>
      </c>
      <c r="B241" s="219">
        <v>99348</v>
      </c>
      <c r="D241" s="132"/>
      <c r="E241" s="132"/>
    </row>
    <row r="242" spans="1:5" ht="13.8">
      <c r="A242" s="159" t="s">
        <v>272</v>
      </c>
      <c r="B242" s="219">
        <v>94080</v>
      </c>
      <c r="D242" s="132"/>
      <c r="E242" s="132"/>
    </row>
    <row r="243" spans="1:5" ht="13.8">
      <c r="A243" s="159" t="s">
        <v>151</v>
      </c>
      <c r="B243" s="219">
        <v>109682</v>
      </c>
      <c r="D243" s="132"/>
      <c r="E243" s="132"/>
    </row>
    <row r="244" spans="1:5" ht="13.8">
      <c r="A244" s="151" t="s">
        <v>273</v>
      </c>
      <c r="B244" s="212">
        <v>6264</v>
      </c>
      <c r="D244" s="132"/>
      <c r="E244" s="132"/>
    </row>
    <row r="245" spans="1:5" ht="13.8">
      <c r="A245" s="151" t="s">
        <v>274</v>
      </c>
      <c r="B245" s="212">
        <v>4085</v>
      </c>
      <c r="D245" s="132"/>
      <c r="E245" s="132"/>
    </row>
    <row r="246" spans="1:5" ht="13.8">
      <c r="A246" s="151" t="s">
        <v>275</v>
      </c>
      <c r="B246" s="212">
        <v>956</v>
      </c>
      <c r="D246" s="132"/>
      <c r="E246" s="132"/>
    </row>
    <row r="247" spans="1:5" ht="13.8">
      <c r="A247" s="151" t="s">
        <v>276</v>
      </c>
      <c r="B247" s="212">
        <v>46256</v>
      </c>
      <c r="D247" s="132"/>
      <c r="E247" s="132"/>
    </row>
    <row r="248" spans="1:5" ht="13.8">
      <c r="A248" s="151" t="s">
        <v>277</v>
      </c>
      <c r="B248" s="212">
        <v>140689</v>
      </c>
      <c r="D248" s="132"/>
      <c r="E248" s="132"/>
    </row>
    <row r="249" spans="1:5" ht="13.8">
      <c r="A249" s="151" t="s">
        <v>278</v>
      </c>
      <c r="B249" s="212">
        <v>47040</v>
      </c>
      <c r="D249" s="132"/>
      <c r="E249" s="132"/>
    </row>
    <row r="250" spans="1:5" ht="14.4" thickBot="1">
      <c r="A250" s="157" t="s">
        <v>279</v>
      </c>
      <c r="B250" s="160">
        <v>53547</v>
      </c>
      <c r="D250" s="132"/>
      <c r="E250" s="132"/>
    </row>
    <row r="251" spans="1:5" ht="14.4" thickBot="1">
      <c r="A251" s="173" t="s">
        <v>66</v>
      </c>
      <c r="B251" s="163">
        <f>SUM(B252:B256)</f>
        <v>349624</v>
      </c>
      <c r="D251" s="132"/>
      <c r="E251" s="132"/>
    </row>
    <row r="252" spans="1:5" ht="13.8">
      <c r="A252" s="151" t="s">
        <v>280</v>
      </c>
      <c r="B252" s="214">
        <v>192856</v>
      </c>
      <c r="D252" s="132"/>
      <c r="E252" s="132"/>
    </row>
    <row r="253" spans="1:5" ht="13.8">
      <c r="A253" s="151" t="s">
        <v>281</v>
      </c>
      <c r="B253" s="212">
        <v>109752</v>
      </c>
      <c r="D253" s="132"/>
      <c r="E253" s="132"/>
    </row>
    <row r="254" spans="1:5" ht="13.8">
      <c r="A254" s="151" t="s">
        <v>282</v>
      </c>
      <c r="B254" s="209">
        <v>31344</v>
      </c>
      <c r="D254" s="132"/>
      <c r="E254" s="132"/>
    </row>
    <row r="255" spans="1:5" ht="13.8">
      <c r="A255" s="151" t="s">
        <v>283</v>
      </c>
      <c r="B255" s="212">
        <v>1560</v>
      </c>
      <c r="D255" s="132"/>
      <c r="E255" s="132"/>
    </row>
    <row r="256" spans="1:5" ht="14.4" thickBot="1">
      <c r="A256" s="157" t="s">
        <v>284</v>
      </c>
      <c r="B256" s="220">
        <v>14112</v>
      </c>
      <c r="D256" s="132"/>
      <c r="E256" s="132"/>
    </row>
    <row r="257" spans="1:5" ht="14.4" thickBot="1">
      <c r="A257" s="173" t="s">
        <v>285</v>
      </c>
      <c r="B257" s="167">
        <f>270000+13000+35000+30000</f>
        <v>348000</v>
      </c>
      <c r="D257" s="132"/>
      <c r="E257" s="132"/>
    </row>
    <row r="258" spans="1:5" ht="14.4" thickBot="1">
      <c r="A258" s="175" t="s">
        <v>67</v>
      </c>
      <c r="B258" s="163">
        <f>SUM(B259:B267)</f>
        <v>543312</v>
      </c>
      <c r="D258" s="132"/>
      <c r="E258" s="132"/>
    </row>
    <row r="259" spans="1:5" ht="13.8">
      <c r="A259" s="161" t="s">
        <v>286</v>
      </c>
      <c r="B259" s="133">
        <v>70560</v>
      </c>
      <c r="D259" s="132"/>
      <c r="E259" s="132"/>
    </row>
    <row r="260" spans="1:5" ht="13.8">
      <c r="A260" s="157" t="s">
        <v>287</v>
      </c>
      <c r="B260" s="133">
        <v>125440</v>
      </c>
      <c r="D260" s="132"/>
      <c r="E260" s="132"/>
    </row>
    <row r="261" spans="1:5" ht="13.8">
      <c r="A261" s="156" t="s">
        <v>288</v>
      </c>
      <c r="B261" s="133">
        <v>145824</v>
      </c>
      <c r="D261" s="132"/>
      <c r="E261" s="132"/>
    </row>
    <row r="262" spans="1:5" ht="13.8">
      <c r="A262" s="156" t="s">
        <v>289</v>
      </c>
      <c r="B262" s="133">
        <v>35280</v>
      </c>
      <c r="D262" s="132"/>
      <c r="E262" s="132"/>
    </row>
    <row r="263" spans="1:5" ht="13.8">
      <c r="A263" s="157" t="s">
        <v>290</v>
      </c>
      <c r="B263" s="133">
        <v>51744</v>
      </c>
      <c r="D263" s="132"/>
      <c r="E263" s="132"/>
    </row>
    <row r="264" spans="1:5" ht="13.8">
      <c r="A264" s="157" t="s">
        <v>291</v>
      </c>
      <c r="B264" s="133">
        <v>3920</v>
      </c>
      <c r="D264" s="132"/>
      <c r="E264" s="132"/>
    </row>
    <row r="265" spans="1:5" ht="13.8">
      <c r="A265" s="157" t="s">
        <v>292</v>
      </c>
      <c r="B265" s="133">
        <v>58800</v>
      </c>
      <c r="D265" s="132"/>
      <c r="E265" s="132"/>
    </row>
    <row r="266" spans="1:5" ht="13.8">
      <c r="A266" s="157" t="s">
        <v>293</v>
      </c>
      <c r="B266" s="133">
        <v>28224</v>
      </c>
      <c r="D266" s="132"/>
      <c r="E266" s="132"/>
    </row>
    <row r="267" spans="1:5" ht="14.4" thickBot="1">
      <c r="A267" s="157" t="s">
        <v>294</v>
      </c>
      <c r="B267" s="133">
        <v>23520</v>
      </c>
      <c r="D267" s="132"/>
      <c r="E267" s="132"/>
    </row>
    <row r="268" spans="1:5" ht="14.4" thickBot="1">
      <c r="A268" s="187" t="s">
        <v>68</v>
      </c>
      <c r="B268" s="188">
        <v>60000</v>
      </c>
      <c r="D268" s="132"/>
      <c r="E268" s="132"/>
    </row>
    <row r="269" spans="1:5" ht="13.8">
      <c r="A269" s="178"/>
      <c r="B269" s="179"/>
      <c r="D269" s="132"/>
      <c r="E269" s="132"/>
    </row>
    <row r="270" spans="1:5" ht="13.8">
      <c r="A270" s="178"/>
      <c r="B270" s="179"/>
      <c r="D270" s="132"/>
      <c r="E270" s="132"/>
    </row>
    <row r="271" spans="1:5" ht="13.8">
      <c r="A271" s="178"/>
      <c r="B271" s="179"/>
      <c r="D271" s="132"/>
      <c r="E271" s="132"/>
    </row>
    <row r="272" spans="1:5" ht="13.8">
      <c r="A272" s="180"/>
      <c r="B272" s="181"/>
      <c r="C272" s="182"/>
      <c r="D272" s="183"/>
      <c r="E272" s="132"/>
    </row>
    <row r="273" spans="1:5" ht="13.8">
      <c r="A273" s="184"/>
      <c r="B273" s="185"/>
      <c r="C273" s="182"/>
      <c r="D273" s="183"/>
      <c r="E273" s="132"/>
    </row>
    <row r="274" spans="1:5" ht="13.8">
      <c r="A274" s="186"/>
      <c r="B274" s="186"/>
      <c r="C274" s="182"/>
      <c r="D274" s="182"/>
    </row>
    <row r="275" spans="1:5">
      <c r="A275" s="182"/>
      <c r="B275" s="182"/>
      <c r="C275" s="182"/>
      <c r="D275" s="182"/>
    </row>
    <row r="276" spans="1:5">
      <c r="A276" s="182"/>
      <c r="B276" s="182"/>
      <c r="C276" s="182"/>
      <c r="D276" s="182"/>
    </row>
    <row r="277" spans="1:5">
      <c r="A277" s="182"/>
      <c r="B277" s="182"/>
      <c r="C277" s="182"/>
      <c r="D277" s="182"/>
    </row>
    <row r="278" spans="1:5">
      <c r="A278" s="182"/>
      <c r="B278" s="182"/>
      <c r="C278" s="182"/>
      <c r="D278" s="182"/>
    </row>
    <row r="279" spans="1:5">
      <c r="A279" s="182"/>
      <c r="B279" s="182"/>
      <c r="C279" s="182"/>
      <c r="D279" s="18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DB7B-E54F-4A68-B399-74C2D6C5A477}">
  <sheetPr>
    <tabColor rgb="FF7030A0"/>
  </sheetPr>
  <dimension ref="A1:F12"/>
  <sheetViews>
    <sheetView workbookViewId="0">
      <selection activeCell="F25" sqref="F25"/>
    </sheetView>
  </sheetViews>
  <sheetFormatPr defaultColWidth="8.44140625" defaultRowHeight="13.2"/>
  <cols>
    <col min="1" max="1" width="8.44140625" style="1"/>
    <col min="2" max="2" width="55.33203125" style="1" customWidth="1"/>
    <col min="3" max="3" width="14.33203125" style="1" customWidth="1"/>
    <col min="4" max="4" width="1.6640625" style="1" customWidth="1"/>
    <col min="5" max="5" width="46.6640625" style="1" customWidth="1"/>
    <col min="6" max="6" width="13.21875" style="1" customWidth="1"/>
    <col min="7" max="7" width="12.33203125" style="1" customWidth="1"/>
    <col min="8" max="8" width="15.33203125" style="1" customWidth="1"/>
    <col min="9" max="9" width="11" style="1" bestFit="1" customWidth="1"/>
    <col min="10" max="16384" width="8.44140625" style="1"/>
  </cols>
  <sheetData>
    <row r="1" spans="1:6">
      <c r="B1" s="180"/>
      <c r="C1" s="181"/>
      <c r="D1" s="182"/>
      <c r="E1" s="183"/>
      <c r="F1" s="132"/>
    </row>
    <row r="2" spans="1:6">
      <c r="B2" s="184"/>
      <c r="C2" s="185"/>
      <c r="D2" s="182"/>
      <c r="E2" s="183"/>
      <c r="F2" s="132"/>
    </row>
    <row r="3" spans="1:6" s="4" customFormat="1">
      <c r="A3" s="233" t="s">
        <v>314</v>
      </c>
      <c r="B3" s="234" t="s">
        <v>315</v>
      </c>
      <c r="C3" s="234" t="s">
        <v>316</v>
      </c>
      <c r="D3" s="232"/>
      <c r="E3" s="232"/>
    </row>
    <row r="4" spans="1:6">
      <c r="A4" s="231">
        <v>1</v>
      </c>
      <c r="B4" s="229" t="s">
        <v>312</v>
      </c>
      <c r="C4" s="228">
        <f>Справочник!B2</f>
        <v>12000000</v>
      </c>
      <c r="D4" s="182"/>
      <c r="E4" s="182"/>
    </row>
    <row r="5" spans="1:6">
      <c r="A5" s="231">
        <v>2</v>
      </c>
      <c r="B5" s="229" t="s">
        <v>129</v>
      </c>
      <c r="C5" s="228">
        <f>Справочник!B3</f>
        <v>2400000</v>
      </c>
      <c r="D5" s="182"/>
      <c r="E5" s="182"/>
    </row>
    <row r="6" spans="1:6">
      <c r="A6" s="231">
        <v>3</v>
      </c>
      <c r="B6" s="229" t="s">
        <v>311</v>
      </c>
      <c r="C6" s="228">
        <f>Справочник!B4</f>
        <v>16000000</v>
      </c>
      <c r="D6" s="182"/>
      <c r="E6" s="236"/>
    </row>
    <row r="7" spans="1:6">
      <c r="A7" s="231">
        <v>4</v>
      </c>
      <c r="B7" s="229" t="s">
        <v>295</v>
      </c>
      <c r="C7" s="228">
        <f>Справочник!B5</f>
        <v>25033105</v>
      </c>
      <c r="D7" s="182"/>
      <c r="E7" s="182"/>
    </row>
    <row r="8" spans="1:6">
      <c r="A8" s="231">
        <v>5</v>
      </c>
      <c r="B8" s="230" t="s">
        <v>308</v>
      </c>
      <c r="C8" s="228">
        <f>Справочник!B6</f>
        <v>2800000</v>
      </c>
      <c r="D8" s="182"/>
      <c r="E8" s="182"/>
    </row>
    <row r="9" spans="1:6">
      <c r="A9" s="231">
        <v>6</v>
      </c>
      <c r="B9" s="230" t="s">
        <v>374</v>
      </c>
      <c r="C9" s="228">
        <f>232000+317000+1375895+180000+600000+5530000+6000000+500000+900000+800000+800000+300000+250000+150000+15000+600000+60000+50000+57000+50000+3000000+20000000</f>
        <v>41766895</v>
      </c>
      <c r="D9" s="182"/>
      <c r="E9" s="182"/>
    </row>
    <row r="10" spans="1:6" ht="14.4" customHeight="1">
      <c r="A10" s="311" t="s">
        <v>313</v>
      </c>
      <c r="B10" s="311"/>
      <c r="C10" s="235">
        <f>SUM(C4:C9)</f>
        <v>100000000</v>
      </c>
      <c r="D10" s="182"/>
      <c r="E10" s="182"/>
    </row>
    <row r="11" spans="1:6">
      <c r="B11" s="226"/>
      <c r="C11" s="227"/>
      <c r="D11" s="182"/>
      <c r="E11" s="182"/>
    </row>
    <row r="12" spans="1:6">
      <c r="C12" s="225"/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2603-FDF8-4075-80B4-F8D029516F1F}">
  <sheetPr>
    <tabColor rgb="FFC00000"/>
  </sheetPr>
  <dimension ref="A3:I6"/>
  <sheetViews>
    <sheetView tabSelected="1" workbookViewId="0"/>
  </sheetViews>
  <sheetFormatPr defaultRowHeight="14.4"/>
  <cols>
    <col min="2" max="2" width="25.109375" customWidth="1"/>
    <col min="3" max="3" width="18.109375" customWidth="1"/>
    <col min="4" max="4" width="23.77734375" customWidth="1"/>
    <col min="5" max="5" width="22.88671875" customWidth="1"/>
    <col min="6" max="6" width="18.109375" customWidth="1"/>
    <col min="7" max="7" width="23.77734375" customWidth="1"/>
    <col min="8" max="8" width="23.33203125" customWidth="1"/>
  </cols>
  <sheetData>
    <row r="3" spans="1:9" s="271" customFormat="1" ht="43.2">
      <c r="A3" s="276" t="s">
        <v>314</v>
      </c>
      <c r="B3" s="276" t="s">
        <v>388</v>
      </c>
      <c r="C3" s="276" t="s">
        <v>387</v>
      </c>
      <c r="D3" s="276" t="s">
        <v>386</v>
      </c>
      <c r="E3" s="276" t="s">
        <v>389</v>
      </c>
      <c r="F3" s="276" t="s">
        <v>385</v>
      </c>
      <c r="G3" s="276" t="s">
        <v>399</v>
      </c>
      <c r="H3" s="276" t="s">
        <v>400</v>
      </c>
    </row>
    <row r="4" spans="1:9" ht="23.4" customHeight="1">
      <c r="A4" s="269">
        <v>1</v>
      </c>
      <c r="B4" s="268" t="s">
        <v>383</v>
      </c>
      <c r="C4" s="270">
        <v>100000000</v>
      </c>
      <c r="D4" s="269">
        <v>60</v>
      </c>
      <c r="E4" s="275" t="s">
        <v>395</v>
      </c>
      <c r="F4" s="272">
        <f>'Детализация на 5 лет'!BJ47</f>
        <v>60000000</v>
      </c>
      <c r="G4" s="273" t="s">
        <v>390</v>
      </c>
      <c r="H4" s="277">
        <f>C4+F4</f>
        <v>160000000</v>
      </c>
    </row>
    <row r="5" spans="1:9" ht="46.8" customHeight="1">
      <c r="A5" s="269">
        <v>2</v>
      </c>
      <c r="B5" s="268" t="s">
        <v>391</v>
      </c>
      <c r="C5" s="270">
        <v>100000000</v>
      </c>
      <c r="D5" s="269" t="s">
        <v>392</v>
      </c>
      <c r="E5" s="275" t="s">
        <v>401</v>
      </c>
      <c r="F5" s="270">
        <f>'Детализация на 5 лет'!BJ42</f>
        <v>162978924.29999998</v>
      </c>
      <c r="G5" s="273" t="s">
        <v>393</v>
      </c>
      <c r="H5" s="277">
        <f>C5+F5-C5</f>
        <v>162978924.29999998</v>
      </c>
      <c r="I5" s="278"/>
    </row>
    <row r="6" spans="1:9" ht="43.2">
      <c r="A6" s="269">
        <v>3</v>
      </c>
      <c r="B6" s="268" t="s">
        <v>384</v>
      </c>
      <c r="C6" s="270">
        <v>100000000</v>
      </c>
      <c r="D6" s="275" t="s">
        <v>403</v>
      </c>
      <c r="E6" s="275" t="s">
        <v>402</v>
      </c>
      <c r="F6" s="272">
        <f>C6</f>
        <v>100000000</v>
      </c>
      <c r="G6" s="273" t="s">
        <v>394</v>
      </c>
      <c r="H6" s="277">
        <f t="shared" ref="H6" si="0">C6+F6</f>
        <v>200000000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Фин.показатели</vt:lpstr>
      <vt:lpstr>Детализация на 5 лет</vt:lpstr>
      <vt:lpstr>Справочник</vt:lpstr>
      <vt:lpstr>Инвестиции</vt:lpstr>
      <vt:lpstr>Варианты инвестиций</vt:lpstr>
      <vt:lpstr>'Детализация на 5 лет'!_ФильтрБазыДанных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MineFirst1</dc:creator>
  <dc:description/>
  <cp:lastModifiedBy>КРМЗЪ</cp:lastModifiedBy>
  <cp:revision>1</cp:revision>
  <dcterms:created xsi:type="dcterms:W3CDTF">2015-06-05T18:19:34Z</dcterms:created>
  <dcterms:modified xsi:type="dcterms:W3CDTF">2023-01-19T08:14:10Z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mExcelLinker_AF6EFB6D_F192_4914_8F72_03271605EAF8">
    <vt:lpwstr>0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