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S\OneDrive\"/>
    </mc:Choice>
  </mc:AlternateContent>
  <xr:revisionPtr revIDLastSave="0" documentId="13_ncr:1_{5BAAB10A-C033-4A44-962F-63878068C3C2}" xr6:coauthVersionLast="47" xr6:coauthVersionMax="47" xr10:uidLastSave="{00000000-0000-0000-0000-000000000000}"/>
  <bookViews>
    <workbookView xWindow="-120" yWindow="-120" windowWidth="38640" windowHeight="21240" tabRatio="599" activeTab="8" xr2:uid="{00000000-000D-0000-FFFF-FFFF00000000}"/>
  </bookViews>
  <sheets>
    <sheet name="Титульный лист" sheetId="11" r:id="rId1"/>
    <sheet name="Оборудование" sheetId="7" r:id="rId2"/>
    <sheet name="Инвестиции" sheetId="2" r:id="rId3"/>
    <sheet name="Продажи" sheetId="4" r:id="rId4"/>
    <sheet name="ФОТ" sheetId="3" r:id="rId5"/>
    <sheet name="К" sheetId="12" state="hidden" r:id="rId6"/>
    <sheet name="Затраты" sheetId="9" r:id="rId7"/>
    <sheet name="Расчет окупаемости" sheetId="5" r:id="rId8"/>
    <sheet name="Экономические показатели" sheetId="6" r:id="rId9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" l="1"/>
  <c r="E11" i="3"/>
  <c r="D11" i="3"/>
  <c r="B5" i="3" l="1"/>
  <c r="E5" i="3" s="1"/>
  <c r="B6" i="3"/>
  <c r="E6" i="3" s="1"/>
  <c r="B7" i="3"/>
  <c r="E7" i="3" s="1"/>
  <c r="B8" i="3"/>
  <c r="E8" i="3" s="1"/>
  <c r="B9" i="3"/>
  <c r="E9" i="3" s="1"/>
  <c r="B10" i="3"/>
  <c r="D10" i="3" s="1"/>
  <c r="E10" i="3" l="1"/>
  <c r="D9" i="3"/>
  <c r="D8" i="3"/>
  <c r="D7" i="3"/>
  <c r="D6" i="3"/>
  <c r="D5" i="3"/>
  <c r="E14" i="7"/>
  <c r="E7" i="7"/>
  <c r="E8" i="7"/>
  <c r="E9" i="7"/>
  <c r="E13" i="7" l="1"/>
  <c r="E12" i="7"/>
  <c r="E11" i="7"/>
  <c r="E10" i="7"/>
  <c r="B3" i="3" l="1"/>
  <c r="D11" i="4" l="1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1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C7" i="4"/>
  <c r="C4" i="9" l="1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B4" i="9"/>
  <c r="C19" i="2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B9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B8" i="9"/>
  <c r="B7" i="9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C5" i="4"/>
  <c r="B4" i="3"/>
  <c r="D3" i="3"/>
  <c r="D4" i="3" l="1"/>
  <c r="E4" i="3"/>
  <c r="B2" i="3"/>
  <c r="D2" i="3" s="1"/>
  <c r="D12" i="3" l="1"/>
  <c r="D13" i="3" s="1"/>
  <c r="C20" i="3" l="1"/>
  <c r="E20" i="3"/>
  <c r="G20" i="3"/>
  <c r="I20" i="3"/>
  <c r="K20" i="3"/>
  <c r="M20" i="3"/>
  <c r="O20" i="3"/>
  <c r="Q20" i="3"/>
  <c r="S20" i="3"/>
  <c r="U20" i="3"/>
  <c r="W20" i="3"/>
  <c r="Y20" i="3"/>
  <c r="D20" i="3"/>
  <c r="F20" i="3"/>
  <c r="H20" i="3"/>
  <c r="J20" i="3"/>
  <c r="L20" i="3"/>
  <c r="N20" i="3"/>
  <c r="P20" i="3"/>
  <c r="R20" i="3"/>
  <c r="T20" i="3"/>
  <c r="V20" i="3"/>
  <c r="X20" i="3"/>
  <c r="B20" i="3"/>
  <c r="C16" i="2"/>
  <c r="C13" i="2"/>
  <c r="Y3" i="9" l="1"/>
  <c r="D3" i="9"/>
  <c r="F3" i="9"/>
  <c r="H3" i="9"/>
  <c r="J3" i="9"/>
  <c r="L3" i="9"/>
  <c r="N3" i="9"/>
  <c r="P3" i="9"/>
  <c r="R3" i="9"/>
  <c r="T3" i="9"/>
  <c r="V3" i="9"/>
  <c r="X3" i="9"/>
  <c r="C3" i="9"/>
  <c r="E3" i="9"/>
  <c r="G3" i="9"/>
  <c r="I3" i="9"/>
  <c r="K3" i="9"/>
  <c r="M3" i="9"/>
  <c r="O3" i="9"/>
  <c r="Q3" i="9"/>
  <c r="S3" i="9"/>
  <c r="U3" i="9"/>
  <c r="W3" i="9"/>
  <c r="B3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C17" i="2"/>
  <c r="C15" i="2"/>
  <c r="E3" i="7" l="1"/>
  <c r="E4" i="7"/>
  <c r="E5" i="7"/>
  <c r="E6" i="7"/>
  <c r="E15" i="7"/>
  <c r="E16" i="7" l="1"/>
  <c r="C7" i="2" s="1"/>
  <c r="C9" i="2" l="1"/>
  <c r="D36" i="12"/>
  <c r="D37" i="12" s="1"/>
  <c r="P28" i="12"/>
  <c r="Q28" i="12"/>
  <c r="R28" i="12"/>
  <c r="S28" i="12"/>
  <c r="T28" i="12"/>
  <c r="U28" i="12"/>
  <c r="V28" i="12"/>
  <c r="W28" i="12"/>
  <c r="X28" i="12"/>
  <c r="Y28" i="12"/>
  <c r="O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B28" i="12"/>
  <c r="Q27" i="12"/>
  <c r="R27" i="12"/>
  <c r="S27" i="12"/>
  <c r="T27" i="12"/>
  <c r="U27" i="12"/>
  <c r="V27" i="12"/>
  <c r="W27" i="12"/>
  <c r="X27" i="12"/>
  <c r="Y27" i="12"/>
  <c r="P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B27" i="12"/>
  <c r="R26" i="12"/>
  <c r="S26" i="12"/>
  <c r="T26" i="12"/>
  <c r="U26" i="12"/>
  <c r="V26" i="12"/>
  <c r="W26" i="12"/>
  <c r="X26" i="12"/>
  <c r="Y26" i="12"/>
  <c r="Q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B26" i="12"/>
  <c r="S25" i="12"/>
  <c r="T25" i="12"/>
  <c r="U25" i="12"/>
  <c r="V25" i="12"/>
  <c r="W25" i="12"/>
  <c r="X25" i="12"/>
  <c r="Y25" i="12"/>
  <c r="R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B25" i="12"/>
  <c r="T24" i="12"/>
  <c r="U24" i="12"/>
  <c r="V24" i="12"/>
  <c r="W24" i="12"/>
  <c r="X24" i="12"/>
  <c r="Y24" i="12"/>
  <c r="S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B24" i="12"/>
  <c r="U23" i="12"/>
  <c r="V23" i="12"/>
  <c r="W23" i="12"/>
  <c r="X23" i="12"/>
  <c r="Y23" i="12"/>
  <c r="T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B23" i="12"/>
  <c r="V22" i="12"/>
  <c r="W22" i="12"/>
  <c r="X22" i="12"/>
  <c r="Y22" i="12"/>
  <c r="U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B22" i="12"/>
  <c r="W21" i="12"/>
  <c r="X21" i="12"/>
  <c r="Y21" i="12"/>
  <c r="V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1" i="12"/>
  <c r="X20" i="12"/>
  <c r="Y20" i="12"/>
  <c r="W20" i="12"/>
  <c r="X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10" i="4" s="1"/>
  <c r="S20" i="12"/>
  <c r="T20" i="12"/>
  <c r="U20" i="12"/>
  <c r="V20" i="12"/>
  <c r="B20" i="12"/>
  <c r="Y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B19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B18" i="12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O4" i="4" l="1"/>
  <c r="O8" i="4"/>
  <c r="O6" i="4"/>
  <c r="O10" i="4"/>
  <c r="Q10" i="4"/>
  <c r="Q8" i="4"/>
  <c r="W8" i="4"/>
  <c r="W6" i="4"/>
  <c r="W10" i="4"/>
  <c r="W4" i="4"/>
  <c r="S8" i="4"/>
  <c r="S6" i="4"/>
  <c r="S4" i="4"/>
  <c r="U10" i="4"/>
  <c r="U8" i="4"/>
  <c r="U6" i="4"/>
  <c r="U4" i="4"/>
  <c r="Q6" i="4"/>
  <c r="Q4" i="4"/>
  <c r="M10" i="4"/>
  <c r="M8" i="4"/>
  <c r="M6" i="4"/>
  <c r="M4" i="4"/>
  <c r="I10" i="4"/>
  <c r="I8" i="4"/>
  <c r="I6" i="4"/>
  <c r="I4" i="4"/>
  <c r="E10" i="4"/>
  <c r="E8" i="4"/>
  <c r="E6" i="4"/>
  <c r="E4" i="4"/>
  <c r="Z10" i="4"/>
  <c r="Z8" i="4"/>
  <c r="Z6" i="4"/>
  <c r="Z4" i="4"/>
  <c r="C8" i="4"/>
  <c r="C6" i="4"/>
  <c r="C10" i="4"/>
  <c r="C4" i="4"/>
  <c r="T10" i="4"/>
  <c r="T8" i="4"/>
  <c r="T6" i="4"/>
  <c r="T4" i="4"/>
  <c r="P10" i="4"/>
  <c r="P8" i="4"/>
  <c r="P6" i="4"/>
  <c r="P4" i="4"/>
  <c r="L10" i="4"/>
  <c r="L8" i="4"/>
  <c r="L6" i="4"/>
  <c r="L4" i="4"/>
  <c r="H10" i="4"/>
  <c r="H8" i="4"/>
  <c r="H6" i="4"/>
  <c r="H4" i="4"/>
  <c r="D10" i="4"/>
  <c r="D8" i="4"/>
  <c r="D6" i="4"/>
  <c r="D4" i="4"/>
  <c r="Y10" i="4"/>
  <c r="Y8" i="4"/>
  <c r="Y6" i="4"/>
  <c r="Y4" i="4"/>
  <c r="K10" i="4"/>
  <c r="K8" i="4"/>
  <c r="K6" i="4"/>
  <c r="K4" i="4"/>
  <c r="G8" i="4"/>
  <c r="G6" i="4"/>
  <c r="G10" i="4"/>
  <c r="G4" i="4"/>
  <c r="V10" i="4"/>
  <c r="V8" i="4"/>
  <c r="V6" i="4"/>
  <c r="V4" i="4"/>
  <c r="R10" i="4"/>
  <c r="R8" i="4"/>
  <c r="R6" i="4"/>
  <c r="R4" i="4"/>
  <c r="N10" i="4"/>
  <c r="N8" i="4"/>
  <c r="N6" i="4"/>
  <c r="N4" i="4"/>
  <c r="J10" i="4"/>
  <c r="J8" i="4"/>
  <c r="J6" i="4"/>
  <c r="J4" i="4"/>
  <c r="F10" i="4"/>
  <c r="F8" i="4"/>
  <c r="F6" i="4"/>
  <c r="F4" i="4"/>
  <c r="X10" i="4"/>
  <c r="X8" i="4"/>
  <c r="X6" i="4"/>
  <c r="X4" i="4"/>
  <c r="F38" i="12"/>
  <c r="C14" i="2" s="1"/>
  <c r="N6" i="9" l="1"/>
  <c r="O12" i="4"/>
  <c r="U12" i="4"/>
  <c r="T6" i="9"/>
  <c r="V6" i="9"/>
  <c r="W12" i="4"/>
  <c r="Y12" i="4"/>
  <c r="X6" i="9"/>
  <c r="D12" i="4"/>
  <c r="C6" i="9"/>
  <c r="H12" i="4"/>
  <c r="G6" i="9"/>
  <c r="L12" i="4"/>
  <c r="K6" i="9"/>
  <c r="P12" i="4"/>
  <c r="O6" i="9"/>
  <c r="T12" i="4"/>
  <c r="S6" i="9"/>
  <c r="B6" i="9"/>
  <c r="C12" i="4"/>
  <c r="Z12" i="4"/>
  <c r="Y6" i="9"/>
  <c r="E12" i="4"/>
  <c r="D6" i="9"/>
  <c r="I12" i="4"/>
  <c r="H6" i="9"/>
  <c r="M12" i="4"/>
  <c r="L6" i="9"/>
  <c r="Q12" i="4"/>
  <c r="P6" i="9"/>
  <c r="X12" i="4"/>
  <c r="W6" i="9"/>
  <c r="E6" i="9"/>
  <c r="F12" i="4"/>
  <c r="I6" i="9"/>
  <c r="J12" i="4"/>
  <c r="N12" i="4"/>
  <c r="M6" i="9"/>
  <c r="Q6" i="9"/>
  <c r="R12" i="4"/>
  <c r="U6" i="9"/>
  <c r="V12" i="4"/>
  <c r="F6" i="9"/>
  <c r="G12" i="4"/>
  <c r="J6" i="9"/>
  <c r="K12" i="4"/>
  <c r="N18" i="3"/>
  <c r="N19" i="3"/>
  <c r="R6" i="9"/>
  <c r="S12" i="4"/>
  <c r="E5" i="9"/>
  <c r="I5" i="9"/>
  <c r="M5" i="9"/>
  <c r="Q5" i="9"/>
  <c r="U5" i="9"/>
  <c r="Y5" i="9"/>
  <c r="D5" i="9"/>
  <c r="H5" i="9"/>
  <c r="L5" i="9"/>
  <c r="P5" i="9"/>
  <c r="T5" i="9"/>
  <c r="X5" i="9"/>
  <c r="C5" i="9"/>
  <c r="G5" i="9"/>
  <c r="K5" i="9"/>
  <c r="O5" i="9"/>
  <c r="S5" i="9"/>
  <c r="W5" i="9"/>
  <c r="B5" i="9"/>
  <c r="F5" i="9"/>
  <c r="J5" i="9"/>
  <c r="N5" i="9"/>
  <c r="R5" i="9"/>
  <c r="V5" i="9"/>
  <c r="N21" i="3" l="1"/>
  <c r="N10" i="9" s="1"/>
  <c r="N11" i="9" s="1"/>
  <c r="U18" i="3"/>
  <c r="U19" i="3"/>
  <c r="V18" i="3"/>
  <c r="V19" i="3"/>
  <c r="M18" i="3"/>
  <c r="M19" i="3"/>
  <c r="P18" i="3"/>
  <c r="P19" i="3"/>
  <c r="H18" i="3"/>
  <c r="H19" i="3"/>
  <c r="Y18" i="3"/>
  <c r="Y19" i="3"/>
  <c r="S18" i="3"/>
  <c r="S19" i="3"/>
  <c r="K18" i="3"/>
  <c r="K19" i="3"/>
  <c r="C18" i="3"/>
  <c r="C19" i="3"/>
  <c r="J18" i="3"/>
  <c r="J19" i="3"/>
  <c r="E18" i="3"/>
  <c r="E19" i="3"/>
  <c r="F18" i="3"/>
  <c r="F19" i="3"/>
  <c r="Q18" i="3"/>
  <c r="Q19" i="3"/>
  <c r="I18" i="3"/>
  <c r="I19" i="3"/>
  <c r="B18" i="3"/>
  <c r="B19" i="3"/>
  <c r="R18" i="3"/>
  <c r="R19" i="3"/>
  <c r="W18" i="3"/>
  <c r="W19" i="3"/>
  <c r="L18" i="3"/>
  <c r="L19" i="3"/>
  <c r="D18" i="3"/>
  <c r="D19" i="3"/>
  <c r="O18" i="3"/>
  <c r="O19" i="3"/>
  <c r="G18" i="3"/>
  <c r="G19" i="3"/>
  <c r="X18" i="3"/>
  <c r="X19" i="3"/>
  <c r="T18" i="3"/>
  <c r="T19" i="3"/>
  <c r="U3" i="5"/>
  <c r="U6" i="5" s="1"/>
  <c r="S3" i="5"/>
  <c r="S6" i="5" s="1"/>
  <c r="Q3" i="5"/>
  <c r="Q6" i="5" s="1"/>
  <c r="O3" i="5"/>
  <c r="O6" i="5" s="1"/>
  <c r="M3" i="5"/>
  <c r="M6" i="5" s="1"/>
  <c r="C3" i="5"/>
  <c r="C6" i="5" s="1"/>
  <c r="V3" i="5"/>
  <c r="V6" i="5" s="1"/>
  <c r="T3" i="5"/>
  <c r="T6" i="5" s="1"/>
  <c r="R3" i="5"/>
  <c r="R6" i="5" s="1"/>
  <c r="P3" i="5"/>
  <c r="P6" i="5" s="1"/>
  <c r="N3" i="5"/>
  <c r="N6" i="5" s="1"/>
  <c r="D3" i="5"/>
  <c r="D6" i="5" s="1"/>
  <c r="K3" i="5"/>
  <c r="K6" i="5" s="1"/>
  <c r="I3" i="5"/>
  <c r="I6" i="5" s="1"/>
  <c r="G3" i="5"/>
  <c r="G6" i="5" s="1"/>
  <c r="E3" i="5"/>
  <c r="E6" i="5" s="1"/>
  <c r="L3" i="5"/>
  <c r="L6" i="5" s="1"/>
  <c r="J3" i="5"/>
  <c r="J6" i="5" s="1"/>
  <c r="H3" i="5"/>
  <c r="H6" i="5" s="1"/>
  <c r="F3" i="5"/>
  <c r="F6" i="5" s="1"/>
  <c r="Y3" i="5"/>
  <c r="Y6" i="5" s="1"/>
  <c r="X3" i="5"/>
  <c r="X6" i="5" s="1"/>
  <c r="W3" i="5"/>
  <c r="W6" i="5" s="1"/>
  <c r="B3" i="5"/>
  <c r="B6" i="5" s="1"/>
  <c r="T21" i="3" l="1"/>
  <c r="T10" i="9" s="1"/>
  <c r="T11" i="9" s="1"/>
  <c r="G21" i="3"/>
  <c r="G10" i="9" s="1"/>
  <c r="G11" i="9" s="1"/>
  <c r="D21" i="3"/>
  <c r="D10" i="9" s="1"/>
  <c r="D11" i="9" s="1"/>
  <c r="W21" i="3"/>
  <c r="W10" i="9" s="1"/>
  <c r="W11" i="9" s="1"/>
  <c r="C21" i="3"/>
  <c r="C10" i="9" s="1"/>
  <c r="C11" i="9" s="1"/>
  <c r="S21" i="3"/>
  <c r="S10" i="9" s="1"/>
  <c r="S11" i="9" s="1"/>
  <c r="H21" i="3"/>
  <c r="H10" i="9" s="1"/>
  <c r="H11" i="9" s="1"/>
  <c r="M21" i="3"/>
  <c r="M10" i="9" s="1"/>
  <c r="M11" i="9" s="1"/>
  <c r="I21" i="3"/>
  <c r="I10" i="9" s="1"/>
  <c r="I11" i="9" s="1"/>
  <c r="F21" i="3"/>
  <c r="F10" i="9" s="1"/>
  <c r="F11" i="9" s="1"/>
  <c r="J21" i="3"/>
  <c r="J10" i="9" s="1"/>
  <c r="J11" i="9" s="1"/>
  <c r="V21" i="3"/>
  <c r="V10" i="9" s="1"/>
  <c r="V11" i="9" s="1"/>
  <c r="E3" i="3"/>
  <c r="E21" i="3"/>
  <c r="E10" i="9" s="1"/>
  <c r="E11" i="9" s="1"/>
  <c r="K21" i="3"/>
  <c r="K10" i="9" s="1"/>
  <c r="K11" i="9" s="1"/>
  <c r="Y21" i="3"/>
  <c r="Y10" i="9" s="1"/>
  <c r="Y11" i="9" s="1"/>
  <c r="P21" i="3"/>
  <c r="P10" i="9" s="1"/>
  <c r="P11" i="9" s="1"/>
  <c r="U21" i="3"/>
  <c r="U10" i="9" s="1"/>
  <c r="U11" i="9" s="1"/>
  <c r="X21" i="3"/>
  <c r="X10" i="9" s="1"/>
  <c r="X11" i="9" s="1"/>
  <c r="O21" i="3"/>
  <c r="O10" i="9" s="1"/>
  <c r="O11" i="9" s="1"/>
  <c r="L21" i="3"/>
  <c r="L10" i="9" s="1"/>
  <c r="L11" i="9" s="1"/>
  <c r="R21" i="3"/>
  <c r="R10" i="9" s="1"/>
  <c r="R11" i="9" s="1"/>
  <c r="E2" i="3"/>
  <c r="B21" i="3"/>
  <c r="B10" i="9" s="1"/>
  <c r="B11" i="9" s="1"/>
  <c r="B4" i="5" s="1"/>
  <c r="B13" i="5" s="1"/>
  <c r="Q21" i="3"/>
  <c r="Q10" i="9" s="1"/>
  <c r="Q11" i="9" s="1"/>
  <c r="C18" i="2"/>
  <c r="C12" i="2" l="1"/>
  <c r="C20" i="2" s="1"/>
  <c r="C4" i="5"/>
  <c r="C13" i="5" s="1"/>
  <c r="D4" i="5"/>
  <c r="D13" i="5" s="1"/>
  <c r="E4" i="5"/>
  <c r="E13" i="5" s="1"/>
  <c r="F4" i="5"/>
  <c r="F13" i="5" s="1"/>
  <c r="G4" i="5"/>
  <c r="G13" i="5" s="1"/>
  <c r="H4" i="5"/>
  <c r="H13" i="5" s="1"/>
  <c r="I4" i="5"/>
  <c r="I13" i="5" s="1"/>
  <c r="J4" i="5"/>
  <c r="J13" i="5" s="1"/>
  <c r="K4" i="5"/>
  <c r="K13" i="5" s="1"/>
  <c r="L4" i="5"/>
  <c r="L13" i="5" s="1"/>
  <c r="M4" i="5"/>
  <c r="M13" i="5" s="1"/>
  <c r="N4" i="5"/>
  <c r="N13" i="5" s="1"/>
  <c r="O4" i="5"/>
  <c r="O13" i="5" s="1"/>
  <c r="P4" i="5"/>
  <c r="P13" i="5" s="1"/>
  <c r="Q4" i="5"/>
  <c r="Q13" i="5" s="1"/>
  <c r="R4" i="5"/>
  <c r="R13" i="5" s="1"/>
  <c r="S4" i="5"/>
  <c r="S13" i="5" s="1"/>
  <c r="T4" i="5"/>
  <c r="T13" i="5" s="1"/>
  <c r="U4" i="5"/>
  <c r="U13" i="5" s="1"/>
  <c r="V4" i="5"/>
  <c r="V13" i="5" s="1"/>
  <c r="W4" i="5"/>
  <c r="W13" i="5" s="1"/>
  <c r="X4" i="5"/>
  <c r="X13" i="5" s="1"/>
  <c r="Y4" i="5"/>
  <c r="Y13" i="5" s="1"/>
  <c r="B5" i="5"/>
  <c r="B7" i="5" s="1"/>
  <c r="B12" i="5" l="1"/>
  <c r="B11" i="5" s="1"/>
  <c r="B9" i="5"/>
  <c r="B10" i="5" s="1"/>
  <c r="B8" i="5"/>
  <c r="C5" i="5"/>
  <c r="C7" i="5" s="1"/>
  <c r="C12" i="5" s="1"/>
  <c r="D5" i="5"/>
  <c r="D7" i="5" s="1"/>
  <c r="E5" i="5"/>
  <c r="E7" i="5" s="1"/>
  <c r="F5" i="5"/>
  <c r="F7" i="5" s="1"/>
  <c r="G5" i="5"/>
  <c r="G7" i="5" s="1"/>
  <c r="H5" i="5"/>
  <c r="H7" i="5" s="1"/>
  <c r="I5" i="5"/>
  <c r="I7" i="5" s="1"/>
  <c r="J5" i="5"/>
  <c r="J7" i="5" s="1"/>
  <c r="K5" i="5"/>
  <c r="K7" i="5" s="1"/>
  <c r="L5" i="5"/>
  <c r="L7" i="5" s="1"/>
  <c r="M5" i="5"/>
  <c r="M7" i="5" s="1"/>
  <c r="N5" i="5"/>
  <c r="N7" i="5" s="1"/>
  <c r="O5" i="5"/>
  <c r="O7" i="5" s="1"/>
  <c r="P5" i="5"/>
  <c r="P7" i="5" s="1"/>
  <c r="Q5" i="5"/>
  <c r="Q7" i="5" s="1"/>
  <c r="R5" i="5"/>
  <c r="R7" i="5" s="1"/>
  <c r="S5" i="5"/>
  <c r="S7" i="5" s="1"/>
  <c r="T5" i="5"/>
  <c r="T7" i="5" s="1"/>
  <c r="U5" i="5"/>
  <c r="U7" i="5" s="1"/>
  <c r="V5" i="5"/>
  <c r="V7" i="5" s="1"/>
  <c r="W5" i="5"/>
  <c r="W7" i="5" s="1"/>
  <c r="X5" i="5"/>
  <c r="X7" i="5" s="1"/>
  <c r="Y5" i="5"/>
  <c r="Y7" i="5" s="1"/>
  <c r="I9" i="11" l="1"/>
  <c r="D12" i="5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C19" i="6"/>
  <c r="C15" i="6"/>
  <c r="C18" i="6"/>
  <c r="C16" i="6"/>
  <c r="C14" i="6"/>
  <c r="Z13" i="5"/>
  <c r="C8" i="6" s="1"/>
  <c r="C11" i="6"/>
  <c r="C20" i="6"/>
  <c r="C9" i="5"/>
  <c r="F5" i="6"/>
  <c r="C7" i="6"/>
  <c r="C8" i="5"/>
  <c r="D8" i="5" s="1"/>
  <c r="E8" i="5" s="1"/>
  <c r="F8" i="5" s="1"/>
  <c r="G8" i="5" s="1"/>
  <c r="H8" i="5" s="1"/>
  <c r="I8" i="5" s="1"/>
  <c r="J8" i="5" s="1"/>
  <c r="K8" i="5" s="1"/>
  <c r="L8" i="5" s="1"/>
  <c r="M8" i="5" s="1"/>
  <c r="C22" i="6"/>
  <c r="C17" i="6"/>
  <c r="C13" i="6"/>
  <c r="C23" i="6"/>
  <c r="C12" i="6"/>
  <c r="C5" i="6" l="1"/>
  <c r="C6" i="6" s="1"/>
  <c r="C11" i="5"/>
  <c r="C10" i="5"/>
  <c r="D9" i="5"/>
  <c r="N8" i="5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D11" i="5" l="1"/>
  <c r="E9" i="5"/>
  <c r="D10" i="5"/>
  <c r="E11" i="5" l="1"/>
  <c r="F9" i="5"/>
  <c r="E10" i="5"/>
  <c r="F11" i="5" l="1"/>
  <c r="G9" i="5"/>
  <c r="F10" i="5"/>
  <c r="G11" i="5" l="1"/>
  <c r="G10" i="5"/>
  <c r="H9" i="5"/>
  <c r="H11" i="5" l="1"/>
  <c r="I9" i="5"/>
  <c r="H10" i="5"/>
  <c r="I11" i="5" l="1"/>
  <c r="J9" i="5"/>
  <c r="I10" i="5"/>
  <c r="J11" i="5" l="1"/>
  <c r="K9" i="5"/>
  <c r="J10" i="5"/>
  <c r="K11" i="5" l="1"/>
  <c r="K10" i="5"/>
  <c r="L9" i="5"/>
  <c r="L11" i="5" l="1"/>
  <c r="M9" i="5"/>
  <c r="L10" i="5"/>
  <c r="M11" i="5" l="1"/>
  <c r="N9" i="5"/>
  <c r="M10" i="5"/>
  <c r="N11" i="5" l="1"/>
  <c r="O9" i="5"/>
  <c r="N10" i="5"/>
  <c r="O11" i="5" l="1"/>
  <c r="O10" i="5"/>
  <c r="P9" i="5"/>
  <c r="P11" i="5" l="1"/>
  <c r="Q9" i="5"/>
  <c r="P10" i="5"/>
  <c r="Q11" i="5" l="1"/>
  <c r="R9" i="5"/>
  <c r="Q10" i="5"/>
  <c r="R11" i="5" l="1"/>
  <c r="S9" i="5"/>
  <c r="R10" i="5"/>
  <c r="S11" i="5" l="1"/>
  <c r="S10" i="5"/>
  <c r="T9" i="5"/>
  <c r="T11" i="5" l="1"/>
  <c r="U9" i="5"/>
  <c r="T10" i="5"/>
  <c r="U11" i="5" l="1"/>
  <c r="V9" i="5"/>
  <c r="U10" i="5"/>
  <c r="V11" i="5" l="1"/>
  <c r="W9" i="5"/>
  <c r="V10" i="5"/>
  <c r="W11" i="5" l="1"/>
  <c r="W10" i="5"/>
  <c r="X9" i="5"/>
  <c r="Y11" i="5" l="1"/>
  <c r="X11" i="5"/>
  <c r="Y9" i="5"/>
  <c r="X10" i="5"/>
  <c r="C4" i="6" l="1"/>
  <c r="Y10" i="5"/>
</calcChain>
</file>

<file path=xl/sharedStrings.xml><?xml version="1.0" encoding="utf-8"?>
<sst xmlns="http://schemas.openxmlformats.org/spreadsheetml/2006/main" count="540" uniqueCount="182">
  <si>
    <t>Инвестиции на открытие</t>
  </si>
  <si>
    <t>Ежемесячные затраты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</si>
  <si>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</si>
  <si>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</si>
  <si>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</si>
  <si>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</si>
  <si>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</si>
  <si>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</si>
  <si>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</si>
  <si>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</si>
  <si>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</si>
  <si>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</si>
  <si>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</si>
  <si>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</si>
  <si>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</t>
  </si>
  <si>
    <t>Финансовая модель</t>
  </si>
  <si>
    <t>Выручка(доход)</t>
  </si>
  <si>
    <t>Инвестзатраты</t>
  </si>
  <si>
    <t>Чистая прибыль нарастающим итогом</t>
  </si>
  <si>
    <t>Чистая прибыль</t>
  </si>
  <si>
    <t>Валовый доход</t>
  </si>
  <si>
    <t>Основные показатели</t>
  </si>
  <si>
    <t>Сумма первоначальных инвестиций</t>
  </si>
  <si>
    <t>Средняя ежемесячная прибыль</t>
  </si>
  <si>
    <t>Показатель</t>
  </si>
  <si>
    <t>Ставка дисконтирования, %</t>
  </si>
  <si>
    <t>Дисконтированный срок окупаемости – DPB, мес.</t>
  </si>
  <si>
    <t>Индекс прибыльности – PI</t>
  </si>
  <si>
    <t>Внутренняя норма рентабельности – IRR,%</t>
  </si>
  <si>
    <t>Значение</t>
  </si>
  <si>
    <t>Источники дохода</t>
  </si>
  <si>
    <t>Показатели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</si>
  <si>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</si>
  <si>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</si>
  <si>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</si>
  <si>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</si>
  <si>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</si>
  <si>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</si>
  <si>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</si>
  <si>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</si>
  <si>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</si>
  <si>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</si>
  <si>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</si>
  <si>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</si>
  <si>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Выручка</t>
  </si>
  <si>
    <t>Расчет окупаемости компании, руб.</t>
  </si>
  <si>
    <t>Срок окупаемости, мес.</t>
  </si>
  <si>
    <t>PV1 год 1</t>
  </si>
  <si>
    <t>PV2 месяц 13</t>
  </si>
  <si>
    <t>PV3 месяц 14</t>
  </si>
  <si>
    <t>PV4 месяц 15</t>
  </si>
  <si>
    <t>PV5 месяц 16</t>
  </si>
  <si>
    <t>PV6 месяц 17</t>
  </si>
  <si>
    <t>PV7 месяц 18</t>
  </si>
  <si>
    <t>PV8 месяц 19</t>
  </si>
  <si>
    <t>PV9 месяц 20</t>
  </si>
  <si>
    <t>положительное значение</t>
  </si>
  <si>
    <t>PV1 год 2</t>
  </si>
  <si>
    <t>Доходы 1</t>
  </si>
  <si>
    <t>Доходы 2</t>
  </si>
  <si>
    <t>Наименование</t>
  </si>
  <si>
    <t>Количество</t>
  </si>
  <si>
    <t>Цена за 1 шт.</t>
  </si>
  <si>
    <t>Затраты, руб.</t>
  </si>
  <si>
    <t>Точка безубыточности (мес)</t>
  </si>
  <si>
    <t>Срок окупаемости (мес)</t>
  </si>
  <si>
    <t>Итого:</t>
  </si>
  <si>
    <t>Редактируемые показатели*</t>
  </si>
  <si>
    <t>Продажи</t>
  </si>
  <si>
    <t>Средняя стоимость одного квадратного метра в аренду</t>
  </si>
  <si>
    <t>Коэффициент сезонности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</si>
  <si>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</si>
  <si>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</si>
  <si>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</si>
  <si>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</si>
  <si>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</si>
  <si>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</si>
  <si>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</si>
  <si>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</si>
  <si>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</si>
  <si>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</si>
  <si>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</si>
  <si>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</si>
  <si>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Коэффициент роста продаж с момента открытия</t>
  </si>
  <si>
    <t>Январь</t>
  </si>
  <si>
    <t>Расчет амортизации</t>
  </si>
  <si>
    <t xml:space="preserve">Период эксплуатации, лет </t>
  </si>
  <si>
    <t>Норма амортизирования </t>
  </si>
  <si>
    <t>Сумма амортизации</t>
  </si>
  <si>
    <t>Амортизационные отчисления каждый месяц</t>
  </si>
  <si>
    <t>Амортизация</t>
  </si>
  <si>
    <t>Закупка оборудования</t>
  </si>
  <si>
    <t>Реклама</t>
  </si>
  <si>
    <t>Коммунальные услуги</t>
  </si>
  <si>
    <t>Бухгалтерия (удаленная)</t>
  </si>
  <si>
    <t xml:space="preserve">Реклама </t>
  </si>
  <si>
    <t xml:space="preserve">Затраты </t>
  </si>
  <si>
    <t>Наценка (в процентах)</t>
  </si>
  <si>
    <t>Количество сотрудников</t>
  </si>
  <si>
    <t>Страховые взносы</t>
  </si>
  <si>
    <t>Итого ФОТ</t>
  </si>
  <si>
    <t>ФОТ (включая страховые взносы)</t>
  </si>
  <si>
    <t>Оклад</t>
  </si>
  <si>
    <t>Сумма</t>
  </si>
  <si>
    <t>ФОТ (включая отчисления)</t>
  </si>
  <si>
    <t>Налоги (УСН 6%)</t>
  </si>
  <si>
    <t>Амортизация оборудования</t>
  </si>
  <si>
    <t>Коммунальные расходы</t>
  </si>
  <si>
    <t>Рентабельность продаж, %</t>
  </si>
  <si>
    <t>В сумме с премиальной частью</t>
  </si>
  <si>
    <t>Постоянные расходы</t>
  </si>
  <si>
    <t>Постоянная часть ФОТ</t>
  </si>
  <si>
    <t>Регистрация, включая получение всех разрешений</t>
  </si>
  <si>
    <t>Средняя з/п в месяц на сотрудника</t>
  </si>
  <si>
    <t>Создание сайта плюс реклама на первый месяц</t>
  </si>
  <si>
    <t>Бухгалтерия (аутсорсинг)</t>
  </si>
  <si>
    <t xml:space="preserve">Расходы  на производство </t>
  </si>
  <si>
    <t xml:space="preserve">Оклад управляющего </t>
  </si>
  <si>
    <t>Стеллаж складской</t>
  </si>
  <si>
    <t>Офисная оргтехника  компл.</t>
  </si>
  <si>
    <t>Вентиляция и  кондиционеры  компл.</t>
  </si>
  <si>
    <t>Пожарное оборудование и охранная  сигнализация</t>
  </si>
  <si>
    <t>Хозяйственно бытовой инвентарь  компл.</t>
  </si>
  <si>
    <t xml:space="preserve">Месяц запуска производства и продаж </t>
  </si>
  <si>
    <t xml:space="preserve">Управляющий </t>
  </si>
  <si>
    <t>Оклад водителя-экспедитора</t>
  </si>
  <si>
    <t>Услуги охраны</t>
  </si>
  <si>
    <t>Мастер-технолог</t>
  </si>
  <si>
    <t>Оператор 1</t>
  </si>
  <si>
    <t>Оператор 2</t>
  </si>
  <si>
    <t>Оператор 3</t>
  </si>
  <si>
    <t>Оператор 4</t>
  </si>
  <si>
    <t>Водитель-экспедитор</t>
  </si>
  <si>
    <t>Инженер- механик</t>
  </si>
  <si>
    <t>Ремонт и подготовка производственных помещений</t>
  </si>
  <si>
    <t>Прочие расходы</t>
  </si>
  <si>
    <t>Закупка расходных материалов на первый месяц работы</t>
  </si>
  <si>
    <t>Услуги охраны ЧОП</t>
  </si>
  <si>
    <t>Доля с продаж мастера технолога, %</t>
  </si>
  <si>
    <t>Оборудованияе офисного рабочего места</t>
  </si>
  <si>
    <t>БИЗНЕС-ПЛАН  «Производство бумаги»</t>
  </si>
  <si>
    <t>Площадь помещения, 300 м2</t>
  </si>
  <si>
    <t>Тельфер - погрузчик (до 5 т)</t>
  </si>
  <si>
    <t>Грузовой автомобиль (грузоподъемность до 10 т)</t>
  </si>
  <si>
    <t xml:space="preserve">Линия PP-1100D для производства офисной бумаги формата А4 </t>
  </si>
  <si>
    <t xml:space="preserve">Автоматизированный комплекс АЛБП-1 </t>
  </si>
  <si>
    <t>Воздушный компрессор</t>
  </si>
  <si>
    <t>Сортировочный комплекс</t>
  </si>
  <si>
    <t>Аренда (300 кв.м.)</t>
  </si>
  <si>
    <t>Оклад заместителя по коммерческой работе</t>
  </si>
  <si>
    <t>Оклад  мастера-технолога</t>
  </si>
  <si>
    <t>Оклад технолога-оператора 1</t>
  </si>
  <si>
    <t>Оклад технолога-оператора 2</t>
  </si>
  <si>
    <t>Оклад технолога-оператора 3</t>
  </si>
  <si>
    <t>Оклад технолога-оператора 4</t>
  </si>
  <si>
    <t xml:space="preserve">Оклад инженера-механика </t>
  </si>
  <si>
    <t>Оклад сортировщика</t>
  </si>
  <si>
    <t>Сортировщик</t>
  </si>
  <si>
    <t>Заместитель по комм. работе</t>
  </si>
  <si>
    <t>Затраты и издержки на производство  бумаги типа А4</t>
  </si>
  <si>
    <t>Продажа  офисной бумаги  А3 кг.м в мес.</t>
  </si>
  <si>
    <t>Затраты и издержки на производство бумаги А3</t>
  </si>
  <si>
    <t>Затраты и издержки на производство крафт-бумаги</t>
  </si>
  <si>
    <t>Продажа  чек- ленты, кг в мес</t>
  </si>
  <si>
    <t>Затраты и издержки на производство чек-ленты</t>
  </si>
  <si>
    <t>Продажа  бумаги для офисной техники типа A4 . кг в мес.</t>
  </si>
  <si>
    <t>Среднее количество продаж  бумаги А4, кг</t>
  </si>
  <si>
    <t>Средняя цена  1 кг А4</t>
  </si>
  <si>
    <t>Среднее количество продаж бумаги А3 кг</t>
  </si>
  <si>
    <t>Средняя цена 1 кг бумаги А3</t>
  </si>
  <si>
    <t>Среднее количество продаж крафт-бумаги , кг</t>
  </si>
  <si>
    <t>Средняя цена  1 кг крафт-бумаги</t>
  </si>
  <si>
    <t>Среднее количество продаж  чековой бумаги</t>
  </si>
  <si>
    <t>Средняя цена  1 кг чековой бумаги</t>
  </si>
  <si>
    <t>Закупка расходных материалов для изготовления бумаги</t>
  </si>
  <si>
    <t>Доля с продаж управляющего, %</t>
  </si>
  <si>
    <t>Арендная плата, в мес.</t>
  </si>
  <si>
    <t>Продажа  упаковочной бумаги-крафт. кг в мес.</t>
  </si>
  <si>
    <t>Чистый дисконтированный доход – NPV, тг.</t>
  </si>
  <si>
    <t>Общая сумма</t>
  </si>
  <si>
    <t>Продажи, тенге.</t>
  </si>
  <si>
    <t>Оборудование комнаты отдыха/столовой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</si>
</sst>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13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9" fillId="14" borderId="6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horizontal="center" vertical="center" wrapText="1"/>
    </xf>
    <xf numFmtId="3" fontId="8" fillId="17" borderId="1" xfId="0" applyNumberFormat="1" applyFont="1" applyFill="1" applyBorder="1" applyAlignment="1">
      <alignment horizontal="center" vertical="center" wrapText="1"/>
    </xf>
    <xf numFmtId="3" fontId="10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vertical="center"/>
    </xf>
    <xf numFmtId="0" fontId="9" fillId="17" borderId="1" xfId="0" applyFont="1" applyFill="1" applyBorder="1" applyAlignment="1">
      <alignment horizontal="center" vertical="center"/>
    </xf>
    <xf numFmtId="3" fontId="11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wrapText="1"/>
    </xf>
    <xf numFmtId="3" fontId="5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3" fontId="5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3" fontId="8" fillId="0" borderId="0" xfId="0" applyNumberFormat="1" applyFont="1"/>
    <xf numFmtId="3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  <protection hidden="1"/>
    </xf>
    <xf numFmtId="3" fontId="8" fillId="0" borderId="1" xfId="0" applyNumberFormat="1" applyFont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15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3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16" borderId="1" xfId="0" applyFont="1" applyFill="1" applyBorder="1" applyProtection="1">
      <protection hidden="1"/>
    </xf>
    <xf numFmtId="0" fontId="9" fillId="10" borderId="1" xfId="0" applyFont="1" applyFill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wrapText="1"/>
      <protection hidden="1"/>
    </xf>
    <xf numFmtId="0" fontId="13" fillId="11" borderId="1" xfId="0" applyFont="1" applyFill="1" applyBorder="1" applyAlignment="1" applyProtection="1">
      <alignment wrapText="1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11" fillId="13" borderId="2" xfId="0" applyFont="1" applyFill="1" applyBorder="1" applyAlignment="1" applyProtection="1">
      <alignment horizontal="center" vertical="center"/>
      <protection hidden="1"/>
    </xf>
    <xf numFmtId="0" fontId="11" fillId="13" borderId="1" xfId="0" applyFont="1" applyFill="1" applyBorder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Protection="1">
      <protection hidden="1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9" fontId="8" fillId="0" borderId="0" xfId="1" applyFont="1"/>
    <xf numFmtId="9" fontId="10" fillId="0" borderId="1" xfId="1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>
      <alignment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9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5" borderId="1" xfId="0" applyFont="1" applyFill="1" applyBorder="1" applyAlignment="1" applyProtection="1">
      <alignment wrapText="1"/>
      <protection hidden="1"/>
    </xf>
    <xf numFmtId="0" fontId="9" fillId="5" borderId="1" xfId="0" applyFont="1" applyFill="1" applyBorder="1" applyAlignment="1" applyProtection="1">
      <alignment horizontal="center" wrapText="1"/>
      <protection hidden="1"/>
    </xf>
    <xf numFmtId="0" fontId="9" fillId="5" borderId="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8" fillId="18" borderId="1" xfId="0" applyFont="1" applyFill="1" applyBorder="1" applyProtection="1">
      <protection hidden="1"/>
    </xf>
    <xf numFmtId="0" fontId="9" fillId="18" borderId="1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9" fillId="5" borderId="1" xfId="0" applyFont="1" applyFill="1" applyBorder="1" applyProtection="1">
      <protection hidden="1"/>
    </xf>
    <xf numFmtId="3" fontId="8" fillId="0" borderId="1" xfId="0" applyNumberFormat="1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10" fontId="14" fillId="0" borderId="0" xfId="1" applyNumberFormat="1" applyFont="1" applyFill="1" applyBorder="1" applyProtection="1">
      <protection hidden="1"/>
    </xf>
    <xf numFmtId="3" fontId="8" fillId="0" borderId="2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9" xfId="0" applyFont="1" applyFill="1" applyBorder="1" applyAlignment="1" applyProtection="1">
      <alignment horizontal="center" vertical="center"/>
      <protection hidden="1"/>
    </xf>
    <xf numFmtId="0" fontId="9" fillId="8" borderId="10" xfId="0" applyFont="1" applyFill="1" applyBorder="1" applyAlignment="1" applyProtection="1">
      <alignment horizontal="center" vertical="center"/>
      <protection hidden="1"/>
    </xf>
    <xf numFmtId="0" fontId="9" fillId="8" borderId="11" xfId="0" applyFont="1" applyFill="1" applyBorder="1" applyAlignment="1" applyProtection="1">
      <alignment horizontal="center" vertical="center"/>
      <protection hidden="1"/>
    </xf>
    <xf numFmtId="0" fontId="9" fillId="7" borderId="9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9" fillId="15" borderId="1" xfId="0" applyFont="1" applyFill="1" applyBorder="1" applyAlignment="1" applyProtection="1">
      <alignment horizontal="center" vertical="center"/>
      <protection hidden="1"/>
    </xf>
    <xf numFmtId="0" fontId="9" fillId="10" borderId="1" xfId="0" applyFont="1" applyFill="1" applyBorder="1" applyAlignment="1" applyProtection="1">
      <alignment horizontal="center" vertical="center" wrapText="1"/>
      <protection hidden="1"/>
    </xf>
    <xf numFmtId="0" fontId="9" fillId="10" borderId="4" xfId="0" applyFont="1" applyFill="1" applyBorder="1" applyAlignment="1" applyProtection="1">
      <alignment horizontal="center"/>
      <protection hidden="1"/>
    </xf>
    <xf numFmtId="0" fontId="9" fillId="10" borderId="5" xfId="0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'Расчет окупаемости'!$A$8</c:f>
              <c:strCache>
                <c:ptCount val="1"/>
                <c:pt idx="0">
                  <c:v>Чистая прибыль нарастающим итогом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'Расчет окупаемости'!$B$8:$Y$8</c:f>
              <c:numCache>
                <c:formatCode>#,##0</c:formatCode>
                <c:ptCount val="24"/>
                <c:pt idx="0">
                  <c:v>6563083.5555555522</c:v>
                </c:pt>
                <c:pt idx="1">
                  <c:v>18967431.111111104</c:v>
                </c:pt>
                <c:pt idx="2">
                  <c:v>37213042.666666657</c:v>
                </c:pt>
                <c:pt idx="3">
                  <c:v>58379286.222222209</c:v>
                </c:pt>
                <c:pt idx="4">
                  <c:v>82466161.777777761</c:v>
                </c:pt>
                <c:pt idx="5">
                  <c:v>106553037.33333331</c:v>
                </c:pt>
                <c:pt idx="6">
                  <c:v>130639912.88888887</c:v>
                </c:pt>
                <c:pt idx="7">
                  <c:v>154726788.44444442</c:v>
                </c:pt>
                <c:pt idx="8">
                  <c:v>178813663.99999997</c:v>
                </c:pt>
                <c:pt idx="9">
                  <c:v>202900539.55555552</c:v>
                </c:pt>
                <c:pt idx="10">
                  <c:v>226987415.11111107</c:v>
                </c:pt>
                <c:pt idx="11">
                  <c:v>251074290.66666663</c:v>
                </c:pt>
                <c:pt idx="12">
                  <c:v>275161166.22222221</c:v>
                </c:pt>
                <c:pt idx="13">
                  <c:v>299248041.77777779</c:v>
                </c:pt>
                <c:pt idx="14">
                  <c:v>323334917.33333337</c:v>
                </c:pt>
                <c:pt idx="15">
                  <c:v>347421792.88888896</c:v>
                </c:pt>
                <c:pt idx="16">
                  <c:v>371508668.44444454</c:v>
                </c:pt>
                <c:pt idx="17">
                  <c:v>395595544.00000012</c:v>
                </c:pt>
                <c:pt idx="18">
                  <c:v>419682419.5555557</c:v>
                </c:pt>
                <c:pt idx="19">
                  <c:v>443769295.11111128</c:v>
                </c:pt>
                <c:pt idx="20">
                  <c:v>467856170.66666687</c:v>
                </c:pt>
                <c:pt idx="21">
                  <c:v>491943046.22222245</c:v>
                </c:pt>
                <c:pt idx="22">
                  <c:v>516029921.77777803</c:v>
                </c:pt>
                <c:pt idx="23">
                  <c:v>540116797.33333361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3AF-90F7-215F025A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72960"/>
        <c:axId val="70099328"/>
      </c:barChart>
      <c:catAx>
        <c:axId val="70072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70099328"/>
        <c:crosses val="autoZero"/>
        <c:auto val="1"/>
        <c:lblAlgn val="ctr"/>
        <c:lblOffset val="100"/>
        <c:noMultiLvlLbl val="0"/>
      </c:catAx>
      <c:valAx>
        <c:axId val="700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700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I$12" fmlaRange="К!$B$3:$B$14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10</xdr:col>
          <xdr:colOff>476250</xdr:colOff>
          <xdr:row>11</xdr:row>
          <xdr:rowOff>228600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1888331</xdr:colOff>
      <xdr:row>13</xdr:row>
      <xdr:rowOff>145256</xdr:rowOff>
    </xdr:from>
    <xdr:to>
      <xdr:col>12</xdr:col>
      <xdr:colOff>592931</xdr:colOff>
      <xdr:row>30</xdr:row>
      <xdr:rowOff>140494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K39"/>
  <sheetViews>
    <sheetView showGridLines="0" workbookViewId="0">
      <selection activeCell="Q30" sqref="Q30"/>
    </sheetView>
  </sheetViews>
  <sheetFormatPr defaultRowHeight="15" x14ac:dyDescent="0.25"/>
  <cols>
    <col min="2" max="2" width="11.28515625" customWidth="1"/>
    <col min="3" max="3" width="13.85546875" customWidth="1"/>
    <col min="4" max="4" width="13.5703125" customWidth="1"/>
    <col min="5" max="5" width="13.7109375" customWidth="1"/>
    <col min="8" max="8" width="13.85546875" customWidth="1"/>
    <col min="9" max="9" width="16.28515625" customWidth="1"/>
    <col min="11" max="11" width="7.28515625" customWidth="1"/>
  </cols>
  <sheetData>
    <row r="2" spans="2:11" ht="26.25" x14ac:dyDescent="0.4">
      <c r="B2" s="91" t="s">
        <v>140</v>
      </c>
      <c r="C2" s="91"/>
      <c r="D2" s="91"/>
      <c r="E2" s="91"/>
      <c r="F2" s="91"/>
      <c r="G2" s="91"/>
      <c r="H2" s="91"/>
      <c r="I2" s="91"/>
      <c r="J2" s="91"/>
      <c r="K2" s="91"/>
    </row>
    <row r="3" spans="2:11" ht="26.25" x14ac:dyDescent="0.4">
      <c r="B3" s="92" t="s">
        <v>15</v>
      </c>
      <c r="C3" s="92"/>
      <c r="D3" s="92"/>
      <c r="E3" s="92"/>
      <c r="F3" s="92"/>
      <c r="G3" s="92"/>
      <c r="H3" s="92"/>
      <c r="I3" s="92"/>
      <c r="J3" s="92"/>
      <c r="K3" s="92"/>
    </row>
    <row r="5" spans="2:11" ht="18.75" x14ac:dyDescent="0.3">
      <c r="B5" s="93" t="s">
        <v>21</v>
      </c>
      <c r="C5" s="93"/>
      <c r="D5" s="93"/>
      <c r="E5" s="93"/>
      <c r="F5" s="93"/>
      <c r="G5" s="93"/>
      <c r="H5" s="93"/>
      <c r="I5" s="93"/>
      <c r="J5" s="93"/>
      <c r="K5" s="93"/>
    </row>
    <row r="6" spans="2:11" ht="18.75" x14ac:dyDescent="0.3">
      <c r="B6" s="89" t="s">
        <v>22</v>
      </c>
      <c r="C6" s="89"/>
      <c r="D6" s="89"/>
      <c r="E6" s="89"/>
      <c r="F6" s="89"/>
      <c r="G6" s="89"/>
      <c r="H6" s="89"/>
      <c r="I6" s="90">
        <v>100000000</v>
      </c>
      <c r="J6" s="94"/>
      <c r="K6" s="94"/>
    </row>
    <row r="7" spans="2:11" ht="18.75" x14ac:dyDescent="0.3">
      <c r="B7" s="89" t="s">
        <v>64</v>
      </c>
      <c r="C7" s="89"/>
      <c r="D7" s="89"/>
      <c r="E7" s="89"/>
      <c r="F7" s="89"/>
      <c r="G7" s="89"/>
      <c r="H7" s="89"/>
      <c r="I7" s="94">
        <v>5</v>
      </c>
      <c r="J7" s="94"/>
      <c r="K7" s="94"/>
    </row>
    <row r="8" spans="2:11" ht="18.75" x14ac:dyDescent="0.3">
      <c r="B8" s="89" t="s">
        <v>65</v>
      </c>
      <c r="C8" s="89"/>
      <c r="D8" s="89"/>
      <c r="E8" s="89"/>
      <c r="F8" s="89"/>
      <c r="G8" s="89"/>
      <c r="H8" s="89"/>
      <c r="I8" s="94">
        <v>18</v>
      </c>
      <c r="J8" s="94"/>
      <c r="K8" s="94"/>
    </row>
    <row r="9" spans="2:11" ht="18.75" x14ac:dyDescent="0.3">
      <c r="B9" s="89" t="s">
        <v>23</v>
      </c>
      <c r="C9" s="89"/>
      <c r="D9" s="89"/>
      <c r="E9" s="89"/>
      <c r="F9" s="89"/>
      <c r="G9" s="89"/>
      <c r="H9" s="89"/>
      <c r="I9" s="90">
        <f>AVERAGE('Расчет окупаемости'!B7:Y7)</f>
        <v>22504866.555555567</v>
      </c>
      <c r="J9" s="94"/>
      <c r="K9" s="94"/>
    </row>
    <row r="11" spans="2:11" ht="18.75" x14ac:dyDescent="0.3">
      <c r="B11" s="95" t="s">
        <v>67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2:11" ht="18.75" x14ac:dyDescent="0.3">
      <c r="B12" s="89" t="s">
        <v>123</v>
      </c>
      <c r="C12" s="89"/>
      <c r="D12" s="89"/>
      <c r="E12" s="89"/>
      <c r="F12" s="89"/>
      <c r="G12" s="89"/>
      <c r="H12" s="89"/>
      <c r="I12" s="96">
        <v>1</v>
      </c>
      <c r="J12" s="96"/>
      <c r="K12" s="96"/>
    </row>
    <row r="13" spans="2:11" ht="18.75" x14ac:dyDescent="0.3">
      <c r="B13" s="89" t="s">
        <v>165</v>
      </c>
      <c r="C13" s="89"/>
      <c r="D13" s="89"/>
      <c r="E13" s="89"/>
      <c r="F13" s="89"/>
      <c r="G13" s="89"/>
      <c r="H13" s="89"/>
      <c r="I13" s="90">
        <v>220000</v>
      </c>
      <c r="J13" s="90"/>
      <c r="K13" s="90"/>
    </row>
    <row r="14" spans="2:11" ht="18.75" x14ac:dyDescent="0.3">
      <c r="B14" s="86" t="s">
        <v>159</v>
      </c>
      <c r="C14" s="87"/>
      <c r="D14" s="87"/>
      <c r="E14" s="87"/>
      <c r="F14" s="87"/>
      <c r="G14" s="87"/>
      <c r="H14" s="88"/>
      <c r="I14" s="83">
        <v>598</v>
      </c>
      <c r="J14" s="84"/>
      <c r="K14" s="85"/>
    </row>
    <row r="15" spans="2:11" ht="18.75" x14ac:dyDescent="0.3">
      <c r="B15" s="86" t="s">
        <v>160</v>
      </c>
      <c r="C15" s="87"/>
      <c r="D15" s="87"/>
      <c r="E15" s="87"/>
      <c r="F15" s="87"/>
      <c r="G15" s="87"/>
      <c r="H15" s="88"/>
      <c r="I15" s="83">
        <v>0</v>
      </c>
      <c r="J15" s="84"/>
      <c r="K15" s="85"/>
    </row>
    <row r="16" spans="2:11" ht="18.75" x14ac:dyDescent="0.3">
      <c r="B16" s="86" t="s">
        <v>161</v>
      </c>
      <c r="C16" s="87"/>
      <c r="D16" s="87"/>
      <c r="E16" s="87"/>
      <c r="F16" s="87"/>
      <c r="G16" s="87"/>
      <c r="H16" s="88"/>
      <c r="I16" s="83">
        <v>0</v>
      </c>
      <c r="J16" s="84"/>
      <c r="K16" s="85"/>
    </row>
    <row r="17" spans="2:11" ht="18.75" x14ac:dyDescent="0.3">
      <c r="B17" s="86" t="s">
        <v>177</v>
      </c>
      <c r="C17" s="87"/>
      <c r="D17" s="87"/>
      <c r="E17" s="87"/>
      <c r="F17" s="87"/>
      <c r="G17" s="87"/>
      <c r="H17" s="88"/>
      <c r="I17" s="83">
        <v>0</v>
      </c>
      <c r="J17" s="84"/>
      <c r="K17" s="85"/>
    </row>
    <row r="18" spans="2:11" ht="18.75" x14ac:dyDescent="0.3">
      <c r="B18" s="86" t="s">
        <v>162</v>
      </c>
      <c r="C18" s="87"/>
      <c r="D18" s="87"/>
      <c r="E18" s="87"/>
      <c r="F18" s="87"/>
      <c r="G18" s="87"/>
      <c r="H18" s="88"/>
      <c r="I18" s="83">
        <v>0</v>
      </c>
      <c r="J18" s="84"/>
      <c r="K18" s="85"/>
    </row>
    <row r="19" spans="2:11" ht="18.75" x14ac:dyDescent="0.3">
      <c r="B19" s="86" t="s">
        <v>163</v>
      </c>
      <c r="C19" s="87"/>
      <c r="D19" s="87"/>
      <c r="E19" s="87"/>
      <c r="F19" s="87"/>
      <c r="G19" s="87"/>
      <c r="H19" s="88"/>
      <c r="I19" s="83">
        <v>0</v>
      </c>
      <c r="J19" s="84"/>
      <c r="K19" s="85"/>
    </row>
    <row r="20" spans="2:11" ht="18.75" x14ac:dyDescent="0.3">
      <c r="B20" s="86" t="s">
        <v>164</v>
      </c>
      <c r="C20" s="87"/>
      <c r="D20" s="87"/>
      <c r="E20" s="87"/>
      <c r="F20" s="87"/>
      <c r="G20" s="87"/>
      <c r="H20" s="88"/>
      <c r="I20" s="83">
        <v>0</v>
      </c>
      <c r="J20" s="84"/>
      <c r="K20" s="85"/>
    </row>
    <row r="21" spans="2:11" ht="18.75" x14ac:dyDescent="0.3">
      <c r="B21" s="86" t="s">
        <v>97</v>
      </c>
      <c r="C21" s="87"/>
      <c r="D21" s="87"/>
      <c r="E21" s="87"/>
      <c r="F21" s="87"/>
      <c r="G21" s="87"/>
      <c r="H21" s="88"/>
      <c r="I21" s="83">
        <v>30</v>
      </c>
      <c r="J21" s="84"/>
      <c r="K21" s="85"/>
    </row>
    <row r="22" spans="2:11" ht="18.75" x14ac:dyDescent="0.3">
      <c r="B22" s="86" t="s">
        <v>141</v>
      </c>
      <c r="C22" s="87"/>
      <c r="D22" s="87"/>
      <c r="E22" s="87"/>
      <c r="F22" s="87"/>
      <c r="G22" s="87"/>
      <c r="H22" s="88"/>
      <c r="I22" s="83">
        <v>200</v>
      </c>
      <c r="J22" s="84"/>
      <c r="K22" s="85"/>
    </row>
    <row r="23" spans="2:11" ht="18.75" x14ac:dyDescent="0.3">
      <c r="B23" s="89" t="s">
        <v>69</v>
      </c>
      <c r="C23" s="89"/>
      <c r="D23" s="89"/>
      <c r="E23" s="89"/>
      <c r="F23" s="89"/>
      <c r="G23" s="89"/>
      <c r="H23" s="89"/>
      <c r="I23" s="90">
        <v>1500</v>
      </c>
      <c r="J23" s="90"/>
      <c r="K23" s="90"/>
    </row>
    <row r="24" spans="2:11" ht="18.75" x14ac:dyDescent="0.3">
      <c r="B24" s="89" t="s">
        <v>117</v>
      </c>
      <c r="C24" s="89"/>
      <c r="D24" s="89"/>
      <c r="E24" s="89"/>
      <c r="F24" s="89"/>
      <c r="G24" s="89"/>
      <c r="H24" s="89"/>
      <c r="I24" s="90">
        <v>800000</v>
      </c>
      <c r="J24" s="90"/>
      <c r="K24" s="90"/>
    </row>
    <row r="25" spans="2:11" ht="18.75" x14ac:dyDescent="0.3">
      <c r="B25" s="86" t="s">
        <v>149</v>
      </c>
      <c r="C25" s="87"/>
      <c r="D25" s="87"/>
      <c r="E25" s="87"/>
      <c r="F25" s="87"/>
      <c r="G25" s="87"/>
      <c r="H25" s="88"/>
      <c r="I25" s="83">
        <v>400000</v>
      </c>
      <c r="J25" s="84"/>
      <c r="K25" s="85"/>
    </row>
    <row r="26" spans="2:11" ht="18.75" x14ac:dyDescent="0.3">
      <c r="B26" s="86" t="s">
        <v>150</v>
      </c>
      <c r="C26" s="87"/>
      <c r="D26" s="87"/>
      <c r="E26" s="87"/>
      <c r="F26" s="87"/>
      <c r="G26" s="87"/>
      <c r="H26" s="88"/>
      <c r="I26" s="83">
        <v>300000</v>
      </c>
      <c r="J26" s="84"/>
      <c r="K26" s="85"/>
    </row>
    <row r="27" spans="2:11" ht="18.75" x14ac:dyDescent="0.3">
      <c r="B27" s="86" t="s">
        <v>151</v>
      </c>
      <c r="C27" s="87"/>
      <c r="D27" s="87"/>
      <c r="E27" s="87"/>
      <c r="F27" s="87"/>
      <c r="G27" s="87"/>
      <c r="H27" s="88"/>
      <c r="I27" s="83">
        <v>200000</v>
      </c>
      <c r="J27" s="84"/>
      <c r="K27" s="85"/>
    </row>
    <row r="28" spans="2:11" ht="18.75" x14ac:dyDescent="0.3">
      <c r="B28" s="86" t="s">
        <v>152</v>
      </c>
      <c r="C28" s="87"/>
      <c r="D28" s="87"/>
      <c r="E28" s="87"/>
      <c r="F28" s="87"/>
      <c r="G28" s="87"/>
      <c r="H28" s="88"/>
      <c r="I28" s="83">
        <v>200000</v>
      </c>
      <c r="J28" s="84"/>
      <c r="K28" s="85"/>
    </row>
    <row r="29" spans="2:11" ht="18.75" x14ac:dyDescent="0.3">
      <c r="B29" s="86" t="s">
        <v>153</v>
      </c>
      <c r="C29" s="87"/>
      <c r="D29" s="87"/>
      <c r="E29" s="87"/>
      <c r="F29" s="87"/>
      <c r="G29" s="87"/>
      <c r="H29" s="88"/>
      <c r="I29" s="83">
        <v>200000</v>
      </c>
      <c r="J29" s="84"/>
      <c r="K29" s="85"/>
    </row>
    <row r="30" spans="2:11" ht="18.75" x14ac:dyDescent="0.3">
      <c r="B30" s="86" t="s">
        <v>154</v>
      </c>
      <c r="C30" s="87"/>
      <c r="D30" s="87"/>
      <c r="E30" s="87"/>
      <c r="F30" s="87"/>
      <c r="G30" s="87"/>
      <c r="H30" s="88"/>
      <c r="I30" s="83">
        <v>200000</v>
      </c>
      <c r="J30" s="84"/>
      <c r="K30" s="85"/>
    </row>
    <row r="31" spans="2:11" ht="18.75" x14ac:dyDescent="0.3">
      <c r="B31" s="86" t="s">
        <v>125</v>
      </c>
      <c r="C31" s="87"/>
      <c r="D31" s="87"/>
      <c r="E31" s="87"/>
      <c r="F31" s="87"/>
      <c r="G31" s="87"/>
      <c r="H31" s="88"/>
      <c r="I31" s="83">
        <v>0</v>
      </c>
      <c r="J31" s="84"/>
      <c r="K31" s="85"/>
    </row>
    <row r="32" spans="2:11" ht="18.75" x14ac:dyDescent="0.3">
      <c r="B32" s="86" t="s">
        <v>156</v>
      </c>
      <c r="C32" s="87"/>
      <c r="D32" s="87"/>
      <c r="E32" s="87"/>
      <c r="F32" s="87"/>
      <c r="G32" s="87"/>
      <c r="H32" s="88"/>
      <c r="I32" s="83">
        <v>0</v>
      </c>
      <c r="J32" s="84"/>
      <c r="K32" s="85"/>
    </row>
    <row r="33" spans="2:11" ht="18.75" x14ac:dyDescent="0.3">
      <c r="B33" s="86" t="s">
        <v>155</v>
      </c>
      <c r="C33" s="87"/>
      <c r="D33" s="87"/>
      <c r="E33" s="87"/>
      <c r="F33" s="87"/>
      <c r="G33" s="87"/>
      <c r="H33" s="88"/>
      <c r="I33" s="83">
        <v>200000</v>
      </c>
      <c r="J33" s="84"/>
      <c r="K33" s="85"/>
    </row>
    <row r="34" spans="2:11" ht="18.75" x14ac:dyDescent="0.3">
      <c r="B34" s="64" t="s">
        <v>175</v>
      </c>
      <c r="C34" s="65"/>
      <c r="D34" s="65"/>
      <c r="E34" s="65"/>
      <c r="F34" s="65"/>
      <c r="G34" s="65"/>
      <c r="H34" s="66"/>
      <c r="I34" s="83">
        <v>0</v>
      </c>
      <c r="J34" s="84"/>
      <c r="K34" s="85"/>
    </row>
    <row r="35" spans="2:11" ht="18.75" x14ac:dyDescent="0.3">
      <c r="B35" s="64" t="s">
        <v>138</v>
      </c>
      <c r="C35" s="65"/>
      <c r="D35" s="65"/>
      <c r="E35" s="65"/>
      <c r="F35" s="65"/>
      <c r="G35" s="65"/>
      <c r="H35" s="66"/>
      <c r="I35" s="83">
        <v>0</v>
      </c>
      <c r="J35" s="84"/>
      <c r="K35" s="85"/>
    </row>
    <row r="36" spans="2:11" ht="18.75" x14ac:dyDescent="0.3">
      <c r="B36" s="89" t="s">
        <v>92</v>
      </c>
      <c r="C36" s="89"/>
      <c r="D36" s="89"/>
      <c r="E36" s="89"/>
      <c r="F36" s="89"/>
      <c r="G36" s="89"/>
      <c r="H36" s="89"/>
      <c r="I36" s="90">
        <v>0</v>
      </c>
      <c r="J36" s="90"/>
      <c r="K36" s="90"/>
    </row>
    <row r="37" spans="2:11" ht="18.75" x14ac:dyDescent="0.3">
      <c r="B37" s="89" t="s">
        <v>93</v>
      </c>
      <c r="C37" s="89"/>
      <c r="D37" s="89"/>
      <c r="E37" s="89"/>
      <c r="F37" s="89"/>
      <c r="G37" s="89"/>
      <c r="H37" s="89"/>
      <c r="I37" s="90">
        <v>300000</v>
      </c>
      <c r="J37" s="90"/>
      <c r="K37" s="90"/>
    </row>
    <row r="38" spans="2:11" ht="18.75" x14ac:dyDescent="0.3">
      <c r="B38" s="89" t="s">
        <v>94</v>
      </c>
      <c r="C38" s="89"/>
      <c r="D38" s="89"/>
      <c r="E38" s="89"/>
      <c r="F38" s="89"/>
      <c r="G38" s="89"/>
      <c r="H38" s="89"/>
      <c r="I38" s="90">
        <v>200000</v>
      </c>
      <c r="J38" s="90"/>
      <c r="K38" s="90"/>
    </row>
    <row r="39" spans="2:11" ht="18.75" x14ac:dyDescent="0.3">
      <c r="B39" s="86" t="s">
        <v>126</v>
      </c>
      <c r="C39" s="87"/>
      <c r="D39" s="87"/>
      <c r="E39" s="87"/>
      <c r="F39" s="87"/>
      <c r="G39" s="87"/>
      <c r="H39" s="88"/>
      <c r="I39" s="83">
        <v>300000</v>
      </c>
      <c r="J39" s="84"/>
      <c r="K39" s="85"/>
    </row>
  </sheetData>
  <mergeCells count="66">
    <mergeCell ref="I15:K15"/>
    <mergeCell ref="B15:H15"/>
    <mergeCell ref="B14:H14"/>
    <mergeCell ref="I14:K14"/>
    <mergeCell ref="B39:H39"/>
    <mergeCell ref="I39:K39"/>
    <mergeCell ref="B23:H23"/>
    <mergeCell ref="I23:K23"/>
    <mergeCell ref="B22:H22"/>
    <mergeCell ref="I22:K22"/>
    <mergeCell ref="B38:H38"/>
    <mergeCell ref="I38:K38"/>
    <mergeCell ref="B21:H21"/>
    <mergeCell ref="I21:K21"/>
    <mergeCell ref="B25:H25"/>
    <mergeCell ref="I25:K25"/>
    <mergeCell ref="B16:H16"/>
    <mergeCell ref="B17:H17"/>
    <mergeCell ref="B18:H18"/>
    <mergeCell ref="B19:H19"/>
    <mergeCell ref="I16:K16"/>
    <mergeCell ref="I17:K17"/>
    <mergeCell ref="I18:K18"/>
    <mergeCell ref="I19:K19"/>
    <mergeCell ref="B11:K11"/>
    <mergeCell ref="B13:H13"/>
    <mergeCell ref="I13:K13"/>
    <mergeCell ref="B12:H12"/>
    <mergeCell ref="I12:K12"/>
    <mergeCell ref="B7:H7"/>
    <mergeCell ref="I7:K7"/>
    <mergeCell ref="B8:H8"/>
    <mergeCell ref="I8:K8"/>
    <mergeCell ref="B9:H9"/>
    <mergeCell ref="I9:K9"/>
    <mergeCell ref="B2:K2"/>
    <mergeCell ref="B3:K3"/>
    <mergeCell ref="B5:K5"/>
    <mergeCell ref="B6:H6"/>
    <mergeCell ref="I6:K6"/>
    <mergeCell ref="B37:H37"/>
    <mergeCell ref="I37:K37"/>
    <mergeCell ref="B36:H36"/>
    <mergeCell ref="I36:K36"/>
    <mergeCell ref="B26:H26"/>
    <mergeCell ref="I26:K26"/>
    <mergeCell ref="I34:K34"/>
    <mergeCell ref="I35:K35"/>
    <mergeCell ref="B27:H27"/>
    <mergeCell ref="B28:H28"/>
    <mergeCell ref="B29:H29"/>
    <mergeCell ref="B30:H30"/>
    <mergeCell ref="B31:H31"/>
    <mergeCell ref="B33:H33"/>
    <mergeCell ref="I27:K27"/>
    <mergeCell ref="I28:K28"/>
    <mergeCell ref="I30:K30"/>
    <mergeCell ref="I31:K31"/>
    <mergeCell ref="I33:K33"/>
    <mergeCell ref="I20:K20"/>
    <mergeCell ref="B20:H20"/>
    <mergeCell ref="B32:H32"/>
    <mergeCell ref="I32:K32"/>
    <mergeCell ref="I29:K29"/>
    <mergeCell ref="B24:H24"/>
    <mergeCell ref="I24:K2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10</xdr:col>
                    <xdr:colOff>476250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E16"/>
  <sheetViews>
    <sheetView showGridLines="0" workbookViewId="0">
      <selection activeCell="B27" sqref="B27"/>
    </sheetView>
  </sheetViews>
  <sheetFormatPr defaultRowHeight="18.75" x14ac:dyDescent="0.3"/>
  <cols>
    <col min="2" max="2" width="77.7109375" style="7" customWidth="1"/>
    <col min="3" max="5" width="16.85546875" style="8" customWidth="1"/>
  </cols>
  <sheetData>
    <row r="1" spans="2:5" ht="19.5" thickBot="1" x14ac:dyDescent="0.35"/>
    <row r="2" spans="2:5" ht="37.5" x14ac:dyDescent="0.25">
      <c r="B2" s="9" t="s">
        <v>60</v>
      </c>
      <c r="C2" s="10" t="s">
        <v>61</v>
      </c>
      <c r="D2" s="10" t="s">
        <v>62</v>
      </c>
      <c r="E2" s="11" t="s">
        <v>179</v>
      </c>
    </row>
    <row r="3" spans="2:5" x14ac:dyDescent="0.25">
      <c r="B3" s="12" t="s">
        <v>142</v>
      </c>
      <c r="C3" s="13">
        <v>1</v>
      </c>
      <c r="D3" s="14">
        <v>450000</v>
      </c>
      <c r="E3" s="15">
        <f t="shared" ref="E3:E15" si="0">C3*D3</f>
        <v>450000</v>
      </c>
    </row>
    <row r="4" spans="2:5" x14ac:dyDescent="0.25">
      <c r="B4" s="12" t="s">
        <v>143</v>
      </c>
      <c r="C4" s="13">
        <v>1</v>
      </c>
      <c r="D4" s="14">
        <v>0</v>
      </c>
      <c r="E4" s="15">
        <f t="shared" si="0"/>
        <v>0</v>
      </c>
    </row>
    <row r="5" spans="2:5" x14ac:dyDescent="0.25">
      <c r="B5" s="12" t="s">
        <v>144</v>
      </c>
      <c r="C5" s="13">
        <v>1</v>
      </c>
      <c r="D5" s="14">
        <f>70000*475</f>
        <v>33250000</v>
      </c>
      <c r="E5" s="15">
        <f t="shared" si="0"/>
        <v>33250000</v>
      </c>
    </row>
    <row r="6" spans="2:5" x14ac:dyDescent="0.25">
      <c r="B6" s="12" t="s">
        <v>145</v>
      </c>
      <c r="C6" s="13">
        <v>1</v>
      </c>
      <c r="D6" s="14">
        <v>1000000</v>
      </c>
      <c r="E6" s="15">
        <f t="shared" si="0"/>
        <v>1000000</v>
      </c>
    </row>
    <row r="7" spans="2:5" x14ac:dyDescent="0.25">
      <c r="B7" s="12" t="s">
        <v>146</v>
      </c>
      <c r="C7" s="13">
        <v>1</v>
      </c>
      <c r="D7" s="14">
        <v>400000</v>
      </c>
      <c r="E7" s="15">
        <f t="shared" si="0"/>
        <v>400000</v>
      </c>
    </row>
    <row r="8" spans="2:5" x14ac:dyDescent="0.25">
      <c r="B8" s="12" t="s">
        <v>147</v>
      </c>
      <c r="C8" s="13">
        <v>1</v>
      </c>
      <c r="D8" s="14">
        <v>0</v>
      </c>
      <c r="E8" s="15">
        <f t="shared" si="0"/>
        <v>0</v>
      </c>
    </row>
    <row r="9" spans="2:5" x14ac:dyDescent="0.25">
      <c r="B9" s="12" t="s">
        <v>118</v>
      </c>
      <c r="C9" s="13">
        <v>10</v>
      </c>
      <c r="D9" s="14">
        <v>50000</v>
      </c>
      <c r="E9" s="15">
        <f t="shared" si="0"/>
        <v>500000</v>
      </c>
    </row>
    <row r="10" spans="2:5" x14ac:dyDescent="0.25">
      <c r="B10" s="12" t="s">
        <v>139</v>
      </c>
      <c r="C10" s="13">
        <v>2</v>
      </c>
      <c r="D10" s="14">
        <v>200000</v>
      </c>
      <c r="E10" s="15">
        <f t="shared" si="0"/>
        <v>400000</v>
      </c>
    </row>
    <row r="11" spans="2:5" x14ac:dyDescent="0.25">
      <c r="B11" s="12" t="s">
        <v>119</v>
      </c>
      <c r="C11" s="13">
        <v>1</v>
      </c>
      <c r="D11" s="14">
        <v>200000</v>
      </c>
      <c r="E11" s="15">
        <f t="shared" si="0"/>
        <v>200000</v>
      </c>
    </row>
    <row r="12" spans="2:5" x14ac:dyDescent="0.25">
      <c r="B12" s="12" t="s">
        <v>181</v>
      </c>
      <c r="C12" s="13">
        <v>1</v>
      </c>
      <c r="D12" s="14">
        <v>300000</v>
      </c>
      <c r="E12" s="15">
        <f t="shared" si="0"/>
        <v>300000</v>
      </c>
    </row>
    <row r="13" spans="2:5" x14ac:dyDescent="0.25">
      <c r="B13" s="12" t="s">
        <v>120</v>
      </c>
      <c r="C13" s="13">
        <v>1</v>
      </c>
      <c r="D13" s="14">
        <v>500000</v>
      </c>
      <c r="E13" s="15">
        <f t="shared" si="0"/>
        <v>500000</v>
      </c>
    </row>
    <row r="14" spans="2:5" x14ac:dyDescent="0.25">
      <c r="B14" s="12" t="s">
        <v>122</v>
      </c>
      <c r="C14" s="13">
        <v>1</v>
      </c>
      <c r="D14" s="14">
        <v>100000</v>
      </c>
      <c r="E14" s="15">
        <f t="shared" si="0"/>
        <v>100000</v>
      </c>
    </row>
    <row r="15" spans="2:5" x14ac:dyDescent="0.25">
      <c r="B15" s="12" t="s">
        <v>121</v>
      </c>
      <c r="C15" s="13">
        <v>1</v>
      </c>
      <c r="D15" s="14">
        <v>500000</v>
      </c>
      <c r="E15" s="15">
        <f t="shared" si="0"/>
        <v>500000</v>
      </c>
    </row>
    <row r="16" spans="2:5" ht="15.75" customHeight="1" x14ac:dyDescent="0.25">
      <c r="B16" s="16" t="s">
        <v>66</v>
      </c>
      <c r="C16" s="17"/>
      <c r="D16" s="17"/>
      <c r="E16" s="18">
        <f>SUM(E3:E15)</f>
        <v>37600000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2:C70"/>
  <sheetViews>
    <sheetView showGridLines="0" zoomScaleNormal="100" workbookViewId="0">
      <selection activeCell="J17" sqref="J17"/>
    </sheetView>
  </sheetViews>
  <sheetFormatPr defaultRowHeight="18.75" x14ac:dyDescent="0.3"/>
  <cols>
    <col min="2" max="2" width="96.85546875" style="22" bestFit="1" customWidth="1"/>
    <col min="3" max="3" width="18.42578125" style="57" customWidth="1"/>
  </cols>
  <sheetData>
    <row r="2" spans="2:3" x14ac:dyDescent="0.3">
      <c r="B2" s="97" t="s">
        <v>0</v>
      </c>
      <c r="C2" s="97"/>
    </row>
    <row r="3" spans="2:3" x14ac:dyDescent="0.25">
      <c r="B3" s="19" t="s">
        <v>112</v>
      </c>
      <c r="C3" s="28">
        <v>500000</v>
      </c>
    </row>
    <row r="4" spans="2:3" x14ac:dyDescent="0.25">
      <c r="B4" s="19" t="s">
        <v>134</v>
      </c>
      <c r="C4" s="28">
        <v>500000</v>
      </c>
    </row>
    <row r="5" spans="2:3" x14ac:dyDescent="0.25">
      <c r="B5" s="19" t="s">
        <v>136</v>
      </c>
      <c r="C5" s="28">
        <v>5000000</v>
      </c>
    </row>
    <row r="6" spans="2:3" x14ac:dyDescent="0.3">
      <c r="B6" s="56" t="s">
        <v>114</v>
      </c>
      <c r="C6" s="54">
        <v>200000</v>
      </c>
    </row>
    <row r="7" spans="2:3" x14ac:dyDescent="0.25">
      <c r="B7" s="19" t="s">
        <v>91</v>
      </c>
      <c r="C7" s="28">
        <f>Оборудование!E16</f>
        <v>37600000</v>
      </c>
    </row>
    <row r="8" spans="2:3" x14ac:dyDescent="0.25">
      <c r="B8" s="19" t="s">
        <v>135</v>
      </c>
      <c r="C8" s="28">
        <v>5000000</v>
      </c>
    </row>
    <row r="9" spans="2:3" x14ac:dyDescent="0.3">
      <c r="B9" s="20" t="s">
        <v>14</v>
      </c>
      <c r="C9" s="21">
        <f>SUM(C3:C8)</f>
        <v>48800000</v>
      </c>
    </row>
    <row r="11" spans="2:3" x14ac:dyDescent="0.3">
      <c r="B11" s="98" t="s">
        <v>1</v>
      </c>
      <c r="C11" s="99"/>
    </row>
    <row r="12" spans="2:3" x14ac:dyDescent="0.25">
      <c r="B12" s="19" t="s">
        <v>104</v>
      </c>
      <c r="C12" s="28">
        <f>AVERAGE(Затраты!B10:Y10)</f>
        <v>2975000</v>
      </c>
    </row>
    <row r="13" spans="2:3" x14ac:dyDescent="0.25">
      <c r="B13" s="19" t="s">
        <v>148</v>
      </c>
      <c r="C13" s="28">
        <f>'Титульный лист'!I22*'Титульный лист'!I23</f>
        <v>300000</v>
      </c>
    </row>
    <row r="14" spans="2:3" x14ac:dyDescent="0.25">
      <c r="B14" s="19" t="s">
        <v>90</v>
      </c>
      <c r="C14" s="28">
        <f>К!F38</f>
        <v>1044444.4444444444</v>
      </c>
    </row>
    <row r="15" spans="2:3" x14ac:dyDescent="0.25">
      <c r="B15" s="19" t="s">
        <v>93</v>
      </c>
      <c r="C15" s="28">
        <f>'Титульный лист'!$I$37</f>
        <v>300000</v>
      </c>
    </row>
    <row r="16" spans="2:3" x14ac:dyDescent="0.25">
      <c r="B16" s="19" t="s">
        <v>92</v>
      </c>
      <c r="C16" s="28">
        <f>'Титульный лист'!I36</f>
        <v>0</v>
      </c>
    </row>
    <row r="17" spans="2:3" x14ac:dyDescent="0.25">
      <c r="B17" s="19" t="s">
        <v>94</v>
      </c>
      <c r="C17" s="28">
        <f>'Титульный лист'!$I$38</f>
        <v>200000</v>
      </c>
    </row>
    <row r="18" spans="2:3" x14ac:dyDescent="0.25">
      <c r="B18" s="19" t="s">
        <v>174</v>
      </c>
      <c r="C18" s="28">
        <f>AVERAGE(Затраты!B6:Y6)</f>
        <v>124433833.33333333</v>
      </c>
    </row>
    <row r="19" spans="2:3" x14ac:dyDescent="0.25">
      <c r="B19" s="19" t="s">
        <v>137</v>
      </c>
      <c r="C19" s="28">
        <f>'Титульный лист'!I39</f>
        <v>300000</v>
      </c>
    </row>
    <row r="20" spans="2:3" x14ac:dyDescent="0.3">
      <c r="B20" s="20" t="s">
        <v>14</v>
      </c>
      <c r="C20" s="23">
        <f>SUM(C12:C19)</f>
        <v>129553277.77777778</v>
      </c>
    </row>
    <row r="21" spans="2:3" x14ac:dyDescent="0.3">
      <c r="B21" s="24"/>
    </row>
    <row r="22" spans="2:3" x14ac:dyDescent="0.3">
      <c r="C22" s="27"/>
    </row>
    <row r="23" spans="2:3" x14ac:dyDescent="0.3">
      <c r="B23" s="25"/>
      <c r="C23" s="27"/>
    </row>
    <row r="24" spans="2:3" x14ac:dyDescent="0.3">
      <c r="B24" s="25"/>
      <c r="C24" s="27"/>
    </row>
    <row r="25" spans="2:3" x14ac:dyDescent="0.3">
      <c r="B25" s="25"/>
      <c r="C25" s="27"/>
    </row>
    <row r="26" spans="2:3" x14ac:dyDescent="0.3">
      <c r="B26" s="25"/>
      <c r="C26" s="27"/>
    </row>
    <row r="27" spans="2:3" x14ac:dyDescent="0.3">
      <c r="B27" s="25"/>
      <c r="C27" s="27"/>
    </row>
    <row r="28" spans="2:3" x14ac:dyDescent="0.3">
      <c r="B28" s="25"/>
      <c r="C28" s="27"/>
    </row>
    <row r="29" spans="2:3" x14ac:dyDescent="0.3">
      <c r="B29" s="25"/>
      <c r="C29" s="27"/>
    </row>
    <row r="30" spans="2:3" x14ac:dyDescent="0.3">
      <c r="B30" s="25"/>
      <c r="C30" s="27"/>
    </row>
    <row r="31" spans="2:3" x14ac:dyDescent="0.3">
      <c r="B31" s="25"/>
      <c r="C31" s="27"/>
    </row>
    <row r="32" spans="2:3" x14ac:dyDescent="0.3">
      <c r="B32" s="25"/>
      <c r="C32" s="58"/>
    </row>
    <row r="33" spans="2:3" x14ac:dyDescent="0.3">
      <c r="B33" s="25"/>
      <c r="C33" s="58"/>
    </row>
    <row r="34" spans="2:3" x14ac:dyDescent="0.3">
      <c r="B34" s="25"/>
      <c r="C34" s="58"/>
    </row>
    <row r="35" spans="2:3" x14ac:dyDescent="0.3">
      <c r="B35" s="25"/>
      <c r="C35" s="58"/>
    </row>
    <row r="36" spans="2:3" x14ac:dyDescent="0.3">
      <c r="B36" s="25"/>
      <c r="C36" s="58"/>
    </row>
    <row r="37" spans="2:3" x14ac:dyDescent="0.3">
      <c r="B37" s="25"/>
      <c r="C37" s="58"/>
    </row>
    <row r="38" spans="2:3" x14ac:dyDescent="0.3">
      <c r="B38" s="25"/>
      <c r="C38" s="58"/>
    </row>
    <row r="39" spans="2:3" x14ac:dyDescent="0.3">
      <c r="B39" s="25"/>
      <c r="C39" s="58"/>
    </row>
    <row r="40" spans="2:3" x14ac:dyDescent="0.3">
      <c r="B40" s="25"/>
      <c r="C40" s="58"/>
    </row>
    <row r="41" spans="2:3" x14ac:dyDescent="0.3">
      <c r="B41" s="25"/>
      <c r="C41" s="58"/>
    </row>
    <row r="42" spans="2:3" x14ac:dyDescent="0.3">
      <c r="B42" s="25"/>
      <c r="C42" s="58"/>
    </row>
    <row r="43" spans="2:3" x14ac:dyDescent="0.3">
      <c r="B43" s="25"/>
      <c r="C43" s="58"/>
    </row>
    <row r="44" spans="2:3" x14ac:dyDescent="0.3">
      <c r="B44" s="25"/>
      <c r="C44" s="58"/>
    </row>
    <row r="45" spans="2:3" x14ac:dyDescent="0.3">
      <c r="B45" s="25"/>
      <c r="C45" s="58"/>
    </row>
    <row r="46" spans="2:3" x14ac:dyDescent="0.3">
      <c r="B46" s="25"/>
      <c r="C46" s="58"/>
    </row>
    <row r="47" spans="2:3" x14ac:dyDescent="0.3">
      <c r="B47" s="25"/>
      <c r="C47" s="58"/>
    </row>
    <row r="48" spans="2:3" x14ac:dyDescent="0.3">
      <c r="B48" s="25"/>
      <c r="C48" s="58"/>
    </row>
    <row r="49" spans="2:3" x14ac:dyDescent="0.3">
      <c r="B49" s="25"/>
      <c r="C49" s="58"/>
    </row>
    <row r="50" spans="2:3" x14ac:dyDescent="0.3">
      <c r="B50" s="25"/>
      <c r="C50" s="58"/>
    </row>
    <row r="51" spans="2:3" x14ac:dyDescent="0.3">
      <c r="C51" s="27"/>
    </row>
    <row r="52" spans="2:3" x14ac:dyDescent="0.3">
      <c r="C52" s="27"/>
    </row>
    <row r="53" spans="2:3" x14ac:dyDescent="0.3">
      <c r="B53" s="26"/>
      <c r="C53" s="59"/>
    </row>
    <row r="54" spans="2:3" x14ac:dyDescent="0.3">
      <c r="C54" s="27"/>
    </row>
    <row r="55" spans="2:3" x14ac:dyDescent="0.3">
      <c r="C55" s="27"/>
    </row>
    <row r="56" spans="2:3" x14ac:dyDescent="0.3">
      <c r="C56" s="27"/>
    </row>
    <row r="57" spans="2:3" x14ac:dyDescent="0.3">
      <c r="C57" s="27"/>
    </row>
    <row r="58" spans="2:3" x14ac:dyDescent="0.3">
      <c r="C58" s="27"/>
    </row>
    <row r="59" spans="2:3" x14ac:dyDescent="0.3">
      <c r="C59" s="27"/>
    </row>
    <row r="60" spans="2:3" x14ac:dyDescent="0.3">
      <c r="C60" s="27"/>
    </row>
    <row r="61" spans="2:3" x14ac:dyDescent="0.3">
      <c r="C61" s="27"/>
    </row>
    <row r="62" spans="2:3" x14ac:dyDescent="0.3">
      <c r="C62" s="27"/>
    </row>
    <row r="63" spans="2:3" x14ac:dyDescent="0.3">
      <c r="B63" s="26"/>
      <c r="C63" s="59"/>
    </row>
    <row r="64" spans="2:3" x14ac:dyDescent="0.3">
      <c r="C64" s="27"/>
    </row>
    <row r="65" spans="3:3" x14ac:dyDescent="0.3">
      <c r="C65" s="27"/>
    </row>
    <row r="66" spans="3:3" x14ac:dyDescent="0.3">
      <c r="C66" s="27"/>
    </row>
    <row r="67" spans="3:3" x14ac:dyDescent="0.3">
      <c r="C67" s="27"/>
    </row>
    <row r="68" spans="3:3" x14ac:dyDescent="0.3">
      <c r="C68" s="27"/>
    </row>
    <row r="69" spans="3:3" x14ac:dyDescent="0.3">
      <c r="C69" s="27"/>
    </row>
    <row r="70" spans="3:3" x14ac:dyDescent="0.3">
      <c r="C70" s="27"/>
    </row>
  </sheetData>
  <mergeCells count="2">
    <mergeCell ref="B2:C2"/>
    <mergeCell ref="B11:C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Z34"/>
  <sheetViews>
    <sheetView showGridLines="0" zoomScaleNormal="100" workbookViewId="0">
      <selection activeCell="X22" sqref="X22"/>
    </sheetView>
  </sheetViews>
  <sheetFormatPr defaultRowHeight="18.75" x14ac:dyDescent="0.3"/>
  <cols>
    <col min="1" max="1" width="23.28515625" style="47" bestFit="1" customWidth="1"/>
    <col min="2" max="2" width="76.5703125" style="62" customWidth="1"/>
    <col min="3" max="3" width="14.28515625" style="62" customWidth="1"/>
    <col min="4" max="4" width="15" style="62" customWidth="1"/>
    <col min="5" max="5" width="16.42578125" style="62" customWidth="1"/>
    <col min="6" max="6" width="15.140625" style="47" customWidth="1"/>
    <col min="7" max="7" width="15.7109375" style="47" customWidth="1"/>
    <col min="8" max="8" width="16.42578125" style="47" customWidth="1"/>
    <col min="9" max="9" width="16.140625" style="47" customWidth="1"/>
    <col min="10" max="10" width="16.28515625" style="47" customWidth="1"/>
    <col min="11" max="11" width="17.7109375" style="47" customWidth="1"/>
    <col min="12" max="12" width="15.7109375" style="47" customWidth="1"/>
    <col min="13" max="13" width="20.28515625" style="47" customWidth="1"/>
    <col min="14" max="14" width="15.7109375" style="47" customWidth="1"/>
    <col min="15" max="15" width="18.7109375" style="47" customWidth="1"/>
    <col min="16" max="16" width="19.140625" style="47" customWidth="1"/>
    <col min="17" max="17" width="17.85546875" style="47" customWidth="1"/>
    <col min="18" max="18" width="17.28515625" style="47" customWidth="1"/>
    <col min="19" max="19" width="18.42578125" style="47" customWidth="1"/>
    <col min="20" max="20" width="16.42578125" style="47" customWidth="1"/>
    <col min="21" max="21" width="16" style="47" customWidth="1"/>
    <col min="22" max="22" width="15.28515625" style="47" customWidth="1"/>
    <col min="23" max="23" width="17.7109375" style="47" customWidth="1"/>
    <col min="24" max="24" width="17.85546875" style="47" customWidth="1"/>
    <col min="25" max="25" width="16.28515625" style="47" customWidth="1"/>
    <col min="26" max="26" width="20.28515625" style="47" customWidth="1"/>
    <col min="27" max="16384" width="9.140625" style="61"/>
  </cols>
  <sheetData>
    <row r="1" spans="1:26" x14ac:dyDescent="0.3">
      <c r="A1" s="101" t="s">
        <v>30</v>
      </c>
      <c r="B1" s="101" t="s">
        <v>31</v>
      </c>
      <c r="C1" s="100" t="s">
        <v>180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x14ac:dyDescent="0.3">
      <c r="A2" s="102"/>
      <c r="B2" s="102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32</v>
      </c>
      <c r="P2" s="55" t="s">
        <v>33</v>
      </c>
      <c r="Q2" s="55" t="s">
        <v>34</v>
      </c>
      <c r="R2" s="55" t="s">
        <v>35</v>
      </c>
      <c r="S2" s="55" t="s">
        <v>36</v>
      </c>
      <c r="T2" s="55" t="s">
        <v>37</v>
      </c>
      <c r="U2" s="55" t="s">
        <v>38</v>
      </c>
      <c r="V2" s="55" t="s">
        <v>39</v>
      </c>
      <c r="W2" s="55" t="s">
        <v>40</v>
      </c>
      <c r="X2" s="55" t="s">
        <v>41</v>
      </c>
      <c r="Y2" s="55" t="s">
        <v>42</v>
      </c>
      <c r="Z2" s="55" t="s">
        <v>43</v>
      </c>
    </row>
    <row r="3" spans="1:26" x14ac:dyDescent="0.3">
      <c r="A3" s="103"/>
      <c r="B3" s="103"/>
      <c r="C3" s="55" t="str">
        <f>VLOOKUP('Титульный лист'!$I$12,К!$A$3:$B$14,2,FALSE)</f>
        <v xml:space="preserve">Январь </v>
      </c>
      <c r="D3" s="55" t="str">
        <f>VLOOKUP('Титульный лист'!$I$12,К!$A$3:$Z$14,3,FALSE)</f>
        <v>Февраль</v>
      </c>
      <c r="E3" s="55" t="str">
        <f>VLOOKUP('Титульный лист'!$I$12,К!$A$3:$Z$14,4,FALSE)</f>
        <v>Март</v>
      </c>
      <c r="F3" s="55" t="str">
        <f>VLOOKUP('Титульный лист'!$I$12,К!$A$3:$Z$14,5,FALSE)</f>
        <v>Апрель</v>
      </c>
      <c r="G3" s="55" t="str">
        <f>VLOOKUP('Титульный лист'!$I$12,К!$A$3:$Z$14,6,FALSE)</f>
        <v>Май</v>
      </c>
      <c r="H3" s="55" t="str">
        <f>VLOOKUP('Титульный лист'!$I$12,К!$A$3:$Z$14,7,FALSE)</f>
        <v>Июнь</v>
      </c>
      <c r="I3" s="55" t="str">
        <f>VLOOKUP('Титульный лист'!$I$12,К!$A$3:$Z$14,8,FALSE)</f>
        <v>Июль</v>
      </c>
      <c r="J3" s="55" t="str">
        <f>VLOOKUP('Титульный лист'!$I$12,К!$A$3:$Z$14,9,FALSE)</f>
        <v>Август</v>
      </c>
      <c r="K3" s="55" t="str">
        <f>VLOOKUP('Титульный лист'!$I$12,К!$A$3:$Z$14,10,FALSE)</f>
        <v>Сентябрь</v>
      </c>
      <c r="L3" s="55" t="str">
        <f>VLOOKUP('Титульный лист'!$I$12,К!$A$3:$Z$14,11,FALSE)</f>
        <v>Октябрь</v>
      </c>
      <c r="M3" s="55" t="str">
        <f>VLOOKUP('Титульный лист'!$I$12,К!$A$3:$Z$14,12,FALSE)</f>
        <v>Ноябрь</v>
      </c>
      <c r="N3" s="55" t="str">
        <f>VLOOKUP('Титульный лист'!$I$12,К!$A$3:$Z$14,13,FALSE)</f>
        <v>Декабрь</v>
      </c>
      <c r="O3" s="55" t="str">
        <f>VLOOKUP('Титульный лист'!$I$12,К!$A$3:$Z$14,14,FALSE)</f>
        <v>Январь</v>
      </c>
      <c r="P3" s="55" t="str">
        <f>VLOOKUP('Титульный лист'!$I$12,К!$A$3:$Z$14,15,FALSE)</f>
        <v>Февраль</v>
      </c>
      <c r="Q3" s="55" t="str">
        <f>VLOOKUP('Титульный лист'!$I$12,К!$A$3:$Z$14,16,FALSE)</f>
        <v>Март</v>
      </c>
      <c r="R3" s="55" t="str">
        <f>VLOOKUP('Титульный лист'!$I$12,К!$A$3:$Z$14,17,FALSE)</f>
        <v>Апрель</v>
      </c>
      <c r="S3" s="55" t="str">
        <f>VLOOKUP('Титульный лист'!$I$12,К!$A$3:$Z$14,18,FALSE)</f>
        <v>Май</v>
      </c>
      <c r="T3" s="55" t="str">
        <f>VLOOKUP('Титульный лист'!$I$12,К!$A$3:$Z$14,19,FALSE)</f>
        <v>Июнь</v>
      </c>
      <c r="U3" s="55" t="str">
        <f>VLOOKUP('Титульный лист'!$I$12,К!$A$3:$Z$14,20,FALSE)</f>
        <v>Июль</v>
      </c>
      <c r="V3" s="55" t="str">
        <f>VLOOKUP('Титульный лист'!$I$12,К!$A$3:$Z$14,21,FALSE)</f>
        <v>Август</v>
      </c>
      <c r="W3" s="55" t="str">
        <f>VLOOKUP('Титульный лист'!$I$12,К!$A$3:$Z$14,22,FALSE)</f>
        <v>Сентябрь</v>
      </c>
      <c r="X3" s="55" t="str">
        <f>VLOOKUP('Титульный лист'!$I$12,К!$A$3:$Z$14,23,FALSE)</f>
        <v>Октябрь</v>
      </c>
      <c r="Y3" s="55" t="str">
        <f>VLOOKUP('Титульный лист'!$I$12,К!$A$3:$Z$14,24,FALSE)</f>
        <v>Ноябрь</v>
      </c>
      <c r="Z3" s="55" t="str">
        <f>VLOOKUP('Титульный лист'!$I$12,К!$A$3:$Z$14,25,FALSE)</f>
        <v>Декабрь</v>
      </c>
    </row>
    <row r="4" spans="1:26" x14ac:dyDescent="0.3">
      <c r="A4" s="104" t="s">
        <v>68</v>
      </c>
      <c r="B4" s="29" t="s">
        <v>166</v>
      </c>
      <c r="C4" s="30">
        <f>(VLOOKUP('Титульный лист'!$I$12,К!$A$17:$Y$28,2,FALSE))*'Титульный лист'!$I$13*К!B30</f>
        <v>88000</v>
      </c>
      <c r="D4" s="30">
        <f>(VLOOKUP('Титульный лист'!$I$12,К!$A$17:$Y$28,3,FALSE))*К!C30*'Титульный лист'!$I$13</f>
        <v>132000</v>
      </c>
      <c r="E4" s="30">
        <f>(VLOOKUP('Титульный лист'!$I$12,К!$A$17:$Y$28,4,FALSE))*К!D30*'Титульный лист'!$I$13</f>
        <v>176000</v>
      </c>
      <c r="F4" s="30">
        <f>(VLOOKUP('Титульный лист'!$I$12,К!$A$17:$Y$28,5,FALSE))*К!E30*'Титульный лист'!$I$13</f>
        <v>198000</v>
      </c>
      <c r="G4" s="30">
        <f>(VLOOKUP('Титульный лист'!$I$12,К!$A$17:$Y$28,6,FALSE))*К!F30*'Титульный лист'!$I$13</f>
        <v>220000</v>
      </c>
      <c r="H4" s="30">
        <f>(VLOOKUP('Титульный лист'!$I$12,К!$A$17:$Y$28,7,FALSE))*К!G30*'Титульный лист'!$I$13</f>
        <v>220000</v>
      </c>
      <c r="I4" s="30">
        <f>(VLOOKUP('Титульный лист'!$I$12,К!$A$17:$Y$28,8,FALSE))*К!H30*'Титульный лист'!$I$13</f>
        <v>220000</v>
      </c>
      <c r="J4" s="30">
        <f>(VLOOKUP('Титульный лист'!$I$12,К!$A$17:$Y$28,9,FALSE))*К!I30*'Титульный лист'!$I$13</f>
        <v>220000</v>
      </c>
      <c r="K4" s="30">
        <f>(VLOOKUP('Титульный лист'!$I$12,К!$A$17:$Y$28,10,FALSE))*К!J30*'Титульный лист'!$I$13</f>
        <v>220000</v>
      </c>
      <c r="L4" s="30">
        <f>(VLOOKUP('Титульный лист'!$I$12,К!$A$17:$Y$28,11,FALSE))*К!K30*'Титульный лист'!$I$13</f>
        <v>220000</v>
      </c>
      <c r="M4" s="30">
        <f>(VLOOKUP('Титульный лист'!$I$12,К!$A$17:$Y$28,12,FALSE))*К!L30*'Титульный лист'!$I$13</f>
        <v>220000</v>
      </c>
      <c r="N4" s="30">
        <f>(VLOOKUP('Титульный лист'!$I$12,К!$A$17:$Y$28,13,FALSE))*К!M30*'Титульный лист'!$I$13</f>
        <v>220000</v>
      </c>
      <c r="O4" s="30">
        <f>(VLOOKUP('Титульный лист'!$I$12,К!$A$17:$Y$28,14,FALSE))*К!N30*'Титульный лист'!$I$13</f>
        <v>220000</v>
      </c>
      <c r="P4" s="30">
        <f>(VLOOKUP('Титульный лист'!$I$12,К!$A$17:$Y$28,15,FALSE))*К!O30*'Титульный лист'!$I$13</f>
        <v>220000</v>
      </c>
      <c r="Q4" s="30">
        <f>(VLOOKUP('Титульный лист'!$I$12,К!$A$17:$Y$28,16,FALSE))*К!P30*'Титульный лист'!$I$13</f>
        <v>220000</v>
      </c>
      <c r="R4" s="30">
        <f>(VLOOKUP('Титульный лист'!$I$12,К!$A$17:$Y$28,17,FALSE))*К!Q30*'Титульный лист'!$I$13</f>
        <v>220000</v>
      </c>
      <c r="S4" s="30">
        <f>(VLOOKUP('Титульный лист'!$I$12,К!$A$17:$Y$28,18,FALSE))*К!R30*'Титульный лист'!$I$13</f>
        <v>220000</v>
      </c>
      <c r="T4" s="30">
        <f>(VLOOKUP('Титульный лист'!$I$12,К!$A$17:$Y$28,19,FALSE))*К!S30*'Титульный лист'!$I$13</f>
        <v>220000</v>
      </c>
      <c r="U4" s="30">
        <f>(VLOOKUP('Титульный лист'!$I$12,К!$A$17:$Y$28,20,FALSE))*К!T30*'Титульный лист'!$I$13</f>
        <v>220000</v>
      </c>
      <c r="V4" s="30">
        <f>(VLOOKUP('Титульный лист'!$I$12,К!$A$17:$Y$28,21,FALSE))*К!U30*'Титульный лист'!$I$13</f>
        <v>220000</v>
      </c>
      <c r="W4" s="30">
        <f>(VLOOKUP('Титульный лист'!$I$12,К!$A$17:$Y$28,22,FALSE))*К!V30*'Титульный лист'!$I$13</f>
        <v>220000</v>
      </c>
      <c r="X4" s="30">
        <f>(VLOOKUP('Титульный лист'!$I$12,К!$A$17:$Y$28,23,FALSE))*К!W30*'Титульный лист'!$I$13</f>
        <v>220000</v>
      </c>
      <c r="Y4" s="30">
        <f>(VLOOKUP('Титульный лист'!$I$12,К!$A$17:$Y$28,24,FALSE))*К!X30*'Титульный лист'!$I$13</f>
        <v>220000</v>
      </c>
      <c r="Z4" s="30">
        <f>(VLOOKUP('Титульный лист'!$I$12,К!$A$17:$Y$28,25,FALSE))*К!Y30*'Титульный лист'!$I$13</f>
        <v>220000</v>
      </c>
    </row>
    <row r="5" spans="1:26" x14ac:dyDescent="0.3">
      <c r="A5" s="105"/>
      <c r="B5" s="29" t="s">
        <v>167</v>
      </c>
      <c r="C5" s="30">
        <f>'Титульный лист'!$I$14*(1+'Титульный лист'!$I$21/100)</f>
        <v>777.4</v>
      </c>
      <c r="D5" s="30">
        <f>'Титульный лист'!$I$14*(1+'Титульный лист'!$I$21/100)</f>
        <v>777.4</v>
      </c>
      <c r="E5" s="30">
        <f>'Титульный лист'!$I$14*(1+'Титульный лист'!$I$21/100)</f>
        <v>777.4</v>
      </c>
      <c r="F5" s="30">
        <f>'Титульный лист'!$I$14*(1+'Титульный лист'!$I$21/100)</f>
        <v>777.4</v>
      </c>
      <c r="G5" s="30">
        <f>'Титульный лист'!$I$14*(1+'Титульный лист'!$I$21/100)</f>
        <v>777.4</v>
      </c>
      <c r="H5" s="30">
        <f>'Титульный лист'!$I$14*(1+'Титульный лист'!$I$21/100)</f>
        <v>777.4</v>
      </c>
      <c r="I5" s="30">
        <f>'Титульный лист'!$I$14*(1+'Титульный лист'!$I$21/100)</f>
        <v>777.4</v>
      </c>
      <c r="J5" s="30">
        <f>'Титульный лист'!$I$14*(1+'Титульный лист'!$I$21/100)</f>
        <v>777.4</v>
      </c>
      <c r="K5" s="30">
        <f>'Титульный лист'!$I$14*(1+'Титульный лист'!$I$21/100)</f>
        <v>777.4</v>
      </c>
      <c r="L5" s="30">
        <f>'Титульный лист'!$I$14*(1+'Титульный лист'!$I$21/100)</f>
        <v>777.4</v>
      </c>
      <c r="M5" s="30">
        <f>'Титульный лист'!$I$14*(1+'Титульный лист'!$I$21/100)</f>
        <v>777.4</v>
      </c>
      <c r="N5" s="30">
        <f>'Титульный лист'!$I$14*(1+'Титульный лист'!$I$21/100)</f>
        <v>777.4</v>
      </c>
      <c r="O5" s="30">
        <f>'Титульный лист'!$I$14*(1+'Титульный лист'!$I$21/100)</f>
        <v>777.4</v>
      </c>
      <c r="P5" s="30">
        <f>'Титульный лист'!$I$14*(1+'Титульный лист'!$I$21/100)</f>
        <v>777.4</v>
      </c>
      <c r="Q5" s="30">
        <f>'Титульный лист'!$I$14*(1+'Титульный лист'!$I$21/100)</f>
        <v>777.4</v>
      </c>
      <c r="R5" s="30">
        <f>'Титульный лист'!$I$14*(1+'Титульный лист'!$I$21/100)</f>
        <v>777.4</v>
      </c>
      <c r="S5" s="30">
        <f>'Титульный лист'!$I$14*(1+'Титульный лист'!$I$21/100)</f>
        <v>777.4</v>
      </c>
      <c r="T5" s="30">
        <f>'Титульный лист'!$I$14*(1+'Титульный лист'!$I$21/100)</f>
        <v>777.4</v>
      </c>
      <c r="U5" s="30">
        <f>'Титульный лист'!$I$14*(1+'Титульный лист'!$I$21/100)</f>
        <v>777.4</v>
      </c>
      <c r="V5" s="30">
        <f>'Титульный лист'!$I$14*(1+'Титульный лист'!$I$21/100)</f>
        <v>777.4</v>
      </c>
      <c r="W5" s="30">
        <f>'Титульный лист'!$I$14*(1+'Титульный лист'!$I$21/100)</f>
        <v>777.4</v>
      </c>
      <c r="X5" s="30">
        <f>'Титульный лист'!$I$14*(1+'Титульный лист'!$I$21/100)</f>
        <v>777.4</v>
      </c>
      <c r="Y5" s="30">
        <f>'Титульный лист'!$I$14*(1+'Титульный лист'!$I$21/100)</f>
        <v>777.4</v>
      </c>
      <c r="Z5" s="30">
        <f>'Титульный лист'!$I$14*(1+'Титульный лист'!$I$21/100)</f>
        <v>777.4</v>
      </c>
    </row>
    <row r="6" spans="1:26" x14ac:dyDescent="0.3">
      <c r="A6" s="105"/>
      <c r="B6" s="29" t="s">
        <v>168</v>
      </c>
      <c r="C6" s="30">
        <f>(VLOOKUP('Титульный лист'!$I$12,К!$A$17:$Y$28,2,FALSE))*'Титульный лист'!$I$15*К!B30</f>
        <v>0</v>
      </c>
      <c r="D6" s="30">
        <f>(VLOOKUP('Титульный лист'!$I$12,К!$A$17:$Y$28,3,FALSE))*К!C30*'Титульный лист'!$I$15</f>
        <v>0</v>
      </c>
      <c r="E6" s="30">
        <f>(VLOOKUP('Титульный лист'!$I$12,К!$A$17:$Y$28,4,FALSE))*К!D30*'Титульный лист'!$I$15</f>
        <v>0</v>
      </c>
      <c r="F6" s="30">
        <f>(VLOOKUP('Титульный лист'!$I$12,К!$A$17:$Y$28,5,FALSE))*К!E30*'Титульный лист'!$I$15</f>
        <v>0</v>
      </c>
      <c r="G6" s="30">
        <f>(VLOOKUP('Титульный лист'!$I$12,К!$A$17:$Y$28,6,FALSE))*К!F30*'Титульный лист'!$I$15</f>
        <v>0</v>
      </c>
      <c r="H6" s="30">
        <f>(VLOOKUP('Титульный лист'!$I$12,К!$A$17:$Y$28,7,FALSE))*К!G30*'Титульный лист'!$I$15</f>
        <v>0</v>
      </c>
      <c r="I6" s="30">
        <f>(VLOOKUP('Титульный лист'!$I$12,К!$A$17:$Y$28,8,FALSE))*К!H30*'Титульный лист'!$I$15</f>
        <v>0</v>
      </c>
      <c r="J6" s="30">
        <f>(VLOOKUP('Титульный лист'!$I$12,К!$A$17:$Y$28,9,FALSE))*К!I30*'Титульный лист'!$I$15</f>
        <v>0</v>
      </c>
      <c r="K6" s="30">
        <f>(VLOOKUP('Титульный лист'!$I$12,К!$A$17:$Y$28,10,FALSE))*К!J30*'Титульный лист'!$I$15</f>
        <v>0</v>
      </c>
      <c r="L6" s="30">
        <f>(VLOOKUP('Титульный лист'!$I$12,К!$A$17:$Y$28,11,FALSE))*К!K30*'Титульный лист'!$I$15</f>
        <v>0</v>
      </c>
      <c r="M6" s="30">
        <f>(VLOOKUP('Титульный лист'!$I$12,К!$A$17:$Y$28,12,FALSE))*К!L30*'Титульный лист'!$I$15</f>
        <v>0</v>
      </c>
      <c r="N6" s="30">
        <f>(VLOOKUP('Титульный лист'!$I$12,К!$A$17:$Y$28,13,FALSE))*К!M30*'Титульный лист'!$I$15</f>
        <v>0</v>
      </c>
      <c r="O6" s="30">
        <f>(VLOOKUP('Титульный лист'!$I$12,К!$A$17:$Y$28,14,FALSE))*К!N30*'Титульный лист'!$I$15</f>
        <v>0</v>
      </c>
      <c r="P6" s="30">
        <f>(VLOOKUP('Титульный лист'!$I$12,К!$A$17:$Y$28,15,FALSE))*К!O30*'Титульный лист'!$I$15</f>
        <v>0</v>
      </c>
      <c r="Q6" s="30">
        <f>(VLOOKUP('Титульный лист'!$I$12,К!$A$17:$Y$28,16,FALSE))*К!P30*'Титульный лист'!$I$15</f>
        <v>0</v>
      </c>
      <c r="R6" s="30">
        <f>(VLOOKUP('Титульный лист'!$I$12,К!$A$17:$Y$28,17,FALSE))*К!Q30*'Титульный лист'!$I$15</f>
        <v>0</v>
      </c>
      <c r="S6" s="30">
        <f>(VLOOKUP('Титульный лист'!$I$12,К!$A$17:$Y$28,18,FALSE))*К!R30*'Титульный лист'!$I$15</f>
        <v>0</v>
      </c>
      <c r="T6" s="30">
        <f>(VLOOKUP('Титульный лист'!$I$12,К!$A$17:$Y$28,19,FALSE))*К!S30*'Титульный лист'!$I$15</f>
        <v>0</v>
      </c>
      <c r="U6" s="30">
        <f>(VLOOKUP('Титульный лист'!$I$12,К!$A$17:$Y$28,20,FALSE))*К!T30*'Титульный лист'!$I$15</f>
        <v>0</v>
      </c>
      <c r="V6" s="30">
        <f>(VLOOKUP('Титульный лист'!$I$12,К!$A$17:$Y$28,21,FALSE))*К!U30*'Титульный лист'!$I$15</f>
        <v>0</v>
      </c>
      <c r="W6" s="30">
        <f>(VLOOKUP('Титульный лист'!$I$12,К!$A$17:$Y$28,22,FALSE))*К!V30*'Титульный лист'!$I$15</f>
        <v>0</v>
      </c>
      <c r="X6" s="30">
        <f>(VLOOKUP('Титульный лист'!$I$12,К!$A$17:$Y$28,23,FALSE))*К!W30*'Титульный лист'!$I$15</f>
        <v>0</v>
      </c>
      <c r="Y6" s="30">
        <f>(VLOOKUP('Титульный лист'!$I$12,К!$A$17:$Y$28,24,FALSE))*К!X30*'Титульный лист'!$I$15</f>
        <v>0</v>
      </c>
      <c r="Z6" s="30">
        <f>(VLOOKUP('Титульный лист'!$I$12,К!$A$17:$Y$28,25,FALSE))*К!Y30*'Титульный лист'!$I$15</f>
        <v>0</v>
      </c>
    </row>
    <row r="7" spans="1:26" x14ac:dyDescent="0.3">
      <c r="A7" s="105"/>
      <c r="B7" s="29" t="s">
        <v>169</v>
      </c>
      <c r="C7" s="30">
        <f>'Титульный лист'!$I$16*(1+'Титульный лист'!$I$21/100)</f>
        <v>0</v>
      </c>
      <c r="D7" s="30">
        <f>'Титульный лист'!$I$16*(1+'Титульный лист'!$I$21/100)</f>
        <v>0</v>
      </c>
      <c r="E7" s="30">
        <f>'Титульный лист'!$I$16*(1+'Титульный лист'!$I$21/100)</f>
        <v>0</v>
      </c>
      <c r="F7" s="30">
        <f>'Титульный лист'!$I$16*(1+'Титульный лист'!$I$21/100)</f>
        <v>0</v>
      </c>
      <c r="G7" s="30">
        <f>'Титульный лист'!$I$16*(1+'Титульный лист'!$I$21/100)</f>
        <v>0</v>
      </c>
      <c r="H7" s="30">
        <f>'Титульный лист'!$I$16*(1+'Титульный лист'!$I$21/100)</f>
        <v>0</v>
      </c>
      <c r="I7" s="30">
        <f>'Титульный лист'!$I$16*(1+'Титульный лист'!$I$21/100)</f>
        <v>0</v>
      </c>
      <c r="J7" s="30">
        <f>'Титульный лист'!$I$16*(1+'Титульный лист'!$I$21/100)</f>
        <v>0</v>
      </c>
      <c r="K7" s="30">
        <f>'Титульный лист'!$I$16*(1+'Титульный лист'!$I$21/100)</f>
        <v>0</v>
      </c>
      <c r="L7" s="30">
        <f>'Титульный лист'!$I$16*(1+'Титульный лист'!$I$21/100)</f>
        <v>0</v>
      </c>
      <c r="M7" s="30">
        <f>'Титульный лист'!$I$16*(1+'Титульный лист'!$I$21/100)</f>
        <v>0</v>
      </c>
      <c r="N7" s="30">
        <f>'Титульный лист'!$I$16*(1+'Титульный лист'!$I$21/100)</f>
        <v>0</v>
      </c>
      <c r="O7" s="30">
        <f>'Титульный лист'!$I$16*(1+'Титульный лист'!$I$21/100)</f>
        <v>0</v>
      </c>
      <c r="P7" s="30">
        <f>'Титульный лист'!$I$16*(1+'Титульный лист'!$I$21/100)</f>
        <v>0</v>
      </c>
      <c r="Q7" s="30">
        <f>'Титульный лист'!$I$16*(1+'Титульный лист'!$I$21/100)</f>
        <v>0</v>
      </c>
      <c r="R7" s="30">
        <f>'Титульный лист'!$I$16*(1+'Титульный лист'!$I$21/100)</f>
        <v>0</v>
      </c>
      <c r="S7" s="30">
        <f>'Титульный лист'!$I$16*(1+'Титульный лист'!$I$21/100)</f>
        <v>0</v>
      </c>
      <c r="T7" s="30">
        <f>'Титульный лист'!$I$16*(1+'Титульный лист'!$I$21/100)</f>
        <v>0</v>
      </c>
      <c r="U7" s="30">
        <f>'Титульный лист'!$I$16*(1+'Титульный лист'!$I$21/100)</f>
        <v>0</v>
      </c>
      <c r="V7" s="30">
        <f>'Титульный лист'!$I$16*(1+'Титульный лист'!$I$21/100)</f>
        <v>0</v>
      </c>
      <c r="W7" s="30">
        <f>'Титульный лист'!$I$16*(1+'Титульный лист'!$I$21/100)</f>
        <v>0</v>
      </c>
      <c r="X7" s="30">
        <f>'Титульный лист'!$I$16*(1+'Титульный лист'!$I$21/100)</f>
        <v>0</v>
      </c>
      <c r="Y7" s="30">
        <f>'Титульный лист'!$I$16*(1+'Титульный лист'!$I$21/100)</f>
        <v>0</v>
      </c>
      <c r="Z7" s="30">
        <f>'Титульный лист'!$I$16*(1+'Титульный лист'!$I$21/100)</f>
        <v>0</v>
      </c>
    </row>
    <row r="8" spans="1:26" x14ac:dyDescent="0.3">
      <c r="A8" s="105"/>
      <c r="B8" s="29" t="s">
        <v>170</v>
      </c>
      <c r="C8" s="30">
        <f>(VLOOKUP('Титульный лист'!$I$12,К!$A$17:$Y$28,2,FALSE))*'Титульный лист'!$I$17*К!B30</f>
        <v>0</v>
      </c>
      <c r="D8" s="30">
        <f>(VLOOKUP('Титульный лист'!$I$12,К!$A$17:$Y$28,3,FALSE))*К!C30*'Титульный лист'!$I$17</f>
        <v>0</v>
      </c>
      <c r="E8" s="30">
        <f>(VLOOKUP('Титульный лист'!$I$12,К!$A$17:$Y$28,4,FALSE))*К!D30*'Титульный лист'!$I$17</f>
        <v>0</v>
      </c>
      <c r="F8" s="30">
        <f>(VLOOKUP('Титульный лист'!$I$12,К!$A$17:$Y$28,5,FALSE))*К!E30*'Титульный лист'!$I$17</f>
        <v>0</v>
      </c>
      <c r="G8" s="30">
        <f>(VLOOKUP('Титульный лист'!$I$12,К!$A$17:$Y$28,6,FALSE))*К!F30*'Титульный лист'!$I$17</f>
        <v>0</v>
      </c>
      <c r="H8" s="30">
        <f>(VLOOKUP('Титульный лист'!$I$12,К!$A$17:$Y$28,7,FALSE))*К!G30*'Титульный лист'!$I$17</f>
        <v>0</v>
      </c>
      <c r="I8" s="30">
        <f>(VLOOKUP('Титульный лист'!$I$12,К!$A$17:$Y$28,8,FALSE))*К!H30*'Титульный лист'!$I$17</f>
        <v>0</v>
      </c>
      <c r="J8" s="30">
        <f>(VLOOKUP('Титульный лист'!$I$12,К!$A$17:$Y$28,9,FALSE))*К!I30*'Титульный лист'!$I$17</f>
        <v>0</v>
      </c>
      <c r="K8" s="30">
        <f>(VLOOKUP('Титульный лист'!$I$12,К!$A$17:$Y$28,10,FALSE))*К!J30*'Титульный лист'!$I$17</f>
        <v>0</v>
      </c>
      <c r="L8" s="30">
        <f>(VLOOKUP('Титульный лист'!$I$12,К!$A$17:$Y$28,11,FALSE))*К!K30*'Титульный лист'!$I$17</f>
        <v>0</v>
      </c>
      <c r="M8" s="30">
        <f>(VLOOKUP('Титульный лист'!$I$12,К!$A$17:$Y$28,12,FALSE))*К!L30*'Титульный лист'!$I$17</f>
        <v>0</v>
      </c>
      <c r="N8" s="30">
        <f>(VLOOKUP('Титульный лист'!$I$12,К!$A$17:$Y$28,13,FALSE))*К!M30*'Титульный лист'!$I$17</f>
        <v>0</v>
      </c>
      <c r="O8" s="30">
        <f>(VLOOKUP('Титульный лист'!$I$12,К!$A$17:$Y$28,14,FALSE))*К!N30*'Титульный лист'!$I$17</f>
        <v>0</v>
      </c>
      <c r="P8" s="30">
        <f>(VLOOKUP('Титульный лист'!$I$12,К!$A$17:$Y$28,15,FALSE))*К!O30*'Титульный лист'!$I$17</f>
        <v>0</v>
      </c>
      <c r="Q8" s="30">
        <f>(VLOOKUP('Титульный лист'!$I$12,К!$A$17:$Y$28,16,FALSE))*К!P30*'Титульный лист'!$I$17</f>
        <v>0</v>
      </c>
      <c r="R8" s="30">
        <f>(VLOOKUP('Титульный лист'!$I$12,К!$A$17:$Y$28,17,FALSE))*К!Q30*'Титульный лист'!$I$17</f>
        <v>0</v>
      </c>
      <c r="S8" s="30">
        <f>(VLOOKUP('Титульный лист'!$I$12,К!$A$17:$Y$28,18,FALSE))*К!R30*'Титульный лист'!$I$17</f>
        <v>0</v>
      </c>
      <c r="T8" s="30">
        <f>(VLOOKUP('Титульный лист'!$I$12,К!$A$17:$Y$28,19,FALSE))*К!S30*'Титульный лист'!$I$17</f>
        <v>0</v>
      </c>
      <c r="U8" s="30">
        <f>(VLOOKUP('Титульный лист'!$I$12,К!$A$17:$Y$28,20,FALSE))*К!T30*'Титульный лист'!$I$17</f>
        <v>0</v>
      </c>
      <c r="V8" s="30">
        <f>(VLOOKUP('Титульный лист'!$I$12,К!$A$17:$Y$28,21,FALSE))*К!U30*'Титульный лист'!$I$17</f>
        <v>0</v>
      </c>
      <c r="W8" s="30">
        <f>(VLOOKUP('Титульный лист'!$I$12,К!$A$17:$Y$28,22,FALSE))*К!V30*'Титульный лист'!$I$17</f>
        <v>0</v>
      </c>
      <c r="X8" s="30">
        <f>(VLOOKUP('Титульный лист'!$I$12,К!$A$17:$Y$28,23,FALSE))*К!W30*'Титульный лист'!$I$17</f>
        <v>0</v>
      </c>
      <c r="Y8" s="30">
        <f>(VLOOKUP('Титульный лист'!$I$12,К!$A$17:$Y$28,24,FALSE))*К!X30*'Титульный лист'!$I$17</f>
        <v>0</v>
      </c>
      <c r="Z8" s="30">
        <f>(VLOOKUP('Титульный лист'!$I$12,К!$A$17:$Y$28,25,FALSE))*К!Y30*'Титульный лист'!$I$17</f>
        <v>0</v>
      </c>
    </row>
    <row r="9" spans="1:26" x14ac:dyDescent="0.3">
      <c r="A9" s="105"/>
      <c r="B9" s="29" t="s">
        <v>171</v>
      </c>
      <c r="C9" s="30">
        <f>'Титульный лист'!$I$18*(1+'Титульный лист'!$I$21/100)</f>
        <v>0</v>
      </c>
      <c r="D9" s="30">
        <f>'Титульный лист'!$I$18*(1+'Титульный лист'!$I$21/100)</f>
        <v>0</v>
      </c>
      <c r="E9" s="30">
        <f>'Титульный лист'!$I$18*(1+'Титульный лист'!$I$21/100)</f>
        <v>0</v>
      </c>
      <c r="F9" s="30">
        <f>'Титульный лист'!$I$18*(1+'Титульный лист'!$I$21/100)</f>
        <v>0</v>
      </c>
      <c r="G9" s="30">
        <f>'Титульный лист'!$I$18*(1+'Титульный лист'!$I$21/100)</f>
        <v>0</v>
      </c>
      <c r="H9" s="30">
        <f>'Титульный лист'!$I$18*(1+'Титульный лист'!$I$21/100)</f>
        <v>0</v>
      </c>
      <c r="I9" s="30">
        <f>'Титульный лист'!$I$18*(1+'Титульный лист'!$I$21/100)</f>
        <v>0</v>
      </c>
      <c r="J9" s="30">
        <f>'Титульный лист'!$I$18*(1+'Титульный лист'!$I$21/100)</f>
        <v>0</v>
      </c>
      <c r="K9" s="30">
        <f>'Титульный лист'!$I$18*(1+'Титульный лист'!$I$21/100)</f>
        <v>0</v>
      </c>
      <c r="L9" s="30">
        <f>'Титульный лист'!$I$18*(1+'Титульный лист'!$I$21/100)</f>
        <v>0</v>
      </c>
      <c r="M9" s="30">
        <f>'Титульный лист'!$I$18*(1+'Титульный лист'!$I$21/100)</f>
        <v>0</v>
      </c>
      <c r="N9" s="30">
        <f>'Титульный лист'!$I$18*(1+'Титульный лист'!$I$21/100)</f>
        <v>0</v>
      </c>
      <c r="O9" s="30">
        <f>'Титульный лист'!$I$18*(1+'Титульный лист'!$I$21/100)</f>
        <v>0</v>
      </c>
      <c r="P9" s="30">
        <f>'Титульный лист'!$I$18*(1+'Титульный лист'!$I$21/100)</f>
        <v>0</v>
      </c>
      <c r="Q9" s="30">
        <f>'Титульный лист'!$I$18*(1+'Титульный лист'!$I$21/100)</f>
        <v>0</v>
      </c>
      <c r="R9" s="30">
        <f>'Титульный лист'!$I$18*(1+'Титульный лист'!$I$21/100)</f>
        <v>0</v>
      </c>
      <c r="S9" s="30">
        <f>'Титульный лист'!$I$18*(1+'Титульный лист'!$I$21/100)</f>
        <v>0</v>
      </c>
      <c r="T9" s="30">
        <f>'Титульный лист'!$I$18*(1+'Титульный лист'!$I$21/100)</f>
        <v>0</v>
      </c>
      <c r="U9" s="30">
        <f>'Титульный лист'!$I$18*(1+'Титульный лист'!$I$21/100)</f>
        <v>0</v>
      </c>
      <c r="V9" s="30">
        <f>'Титульный лист'!$I$18*(1+'Титульный лист'!$I$21/100)</f>
        <v>0</v>
      </c>
      <c r="W9" s="30">
        <f>'Титульный лист'!$I$18*(1+'Титульный лист'!$I$21/100)</f>
        <v>0</v>
      </c>
      <c r="X9" s="30">
        <f>'Титульный лист'!$I$18*(1+'Титульный лист'!$I$21/100)</f>
        <v>0</v>
      </c>
      <c r="Y9" s="30">
        <f>'Титульный лист'!$I$18*(1+'Титульный лист'!$I$21/100)</f>
        <v>0</v>
      </c>
      <c r="Z9" s="30">
        <f>'Титульный лист'!$I$18*(1+'Титульный лист'!$I$21/100)</f>
        <v>0</v>
      </c>
    </row>
    <row r="10" spans="1:26" x14ac:dyDescent="0.3">
      <c r="A10" s="105"/>
      <c r="B10" s="29" t="s">
        <v>172</v>
      </c>
      <c r="C10" s="30">
        <f>(VLOOKUP('Титульный лист'!$I$12,К!$A$17:$Y$28,2,FALSE))*'Титульный лист'!$I$19*К!B30</f>
        <v>0</v>
      </c>
      <c r="D10" s="30">
        <f>(VLOOKUP('Титульный лист'!$I$12,К!$A$17:$Y$28,3,FALSE))*К!C30*'Титульный лист'!$I$19</f>
        <v>0</v>
      </c>
      <c r="E10" s="30">
        <f>(VLOOKUP('Титульный лист'!$I$12,К!$A$17:$Y$28,4,FALSE))*К!D30*'Титульный лист'!$I$19</f>
        <v>0</v>
      </c>
      <c r="F10" s="30">
        <f>(VLOOKUP('Титульный лист'!$I$12,К!$A$17:$Y$28,5,FALSE))*К!E30*'Титульный лист'!$I$19</f>
        <v>0</v>
      </c>
      <c r="G10" s="30">
        <f>(VLOOKUP('Титульный лист'!$I$12,К!$A$17:$Y$28,6,FALSE))*К!F30*'Титульный лист'!$I$19</f>
        <v>0</v>
      </c>
      <c r="H10" s="30">
        <f>(VLOOKUP('Титульный лист'!$I$12,К!$A$17:$Y$28,7,FALSE))*К!G30*'Титульный лист'!$I$19</f>
        <v>0</v>
      </c>
      <c r="I10" s="30">
        <f>(VLOOKUP('Титульный лист'!$I$12,К!$A$17:$Y$28,8,FALSE))*К!H30*'Титульный лист'!$I$19</f>
        <v>0</v>
      </c>
      <c r="J10" s="30">
        <f>(VLOOKUP('Титульный лист'!$I$12,К!$A$17:$Y$28,9,FALSE))*К!I30*'Титульный лист'!$I$19</f>
        <v>0</v>
      </c>
      <c r="K10" s="30">
        <f>(VLOOKUP('Титульный лист'!$I$12,К!$A$17:$Y$28,10,FALSE))*К!J30*'Титульный лист'!$I$19</f>
        <v>0</v>
      </c>
      <c r="L10" s="30">
        <f>(VLOOKUP('Титульный лист'!$I$12,К!$A$17:$Y$28,11,FALSE))*К!K30*'Титульный лист'!$I$19</f>
        <v>0</v>
      </c>
      <c r="M10" s="30">
        <f>(VLOOKUP('Титульный лист'!$I$12,К!$A$17:$Y$28,12,FALSE))*К!L30*'Титульный лист'!$I$19</f>
        <v>0</v>
      </c>
      <c r="N10" s="30">
        <f>(VLOOKUP('Титульный лист'!$I$12,К!$A$17:$Y$28,13,FALSE))*К!M30*'Титульный лист'!$I$19</f>
        <v>0</v>
      </c>
      <c r="O10" s="30">
        <f>(VLOOKUP('Титульный лист'!$I$12,К!$A$17:$Y$28,14,FALSE))*К!N30*'Титульный лист'!$I$19</f>
        <v>0</v>
      </c>
      <c r="P10" s="30">
        <f>(VLOOKUP('Титульный лист'!$I$12,К!$A$17:$Y$28,15,FALSE))*К!O30*'Титульный лист'!$I$19</f>
        <v>0</v>
      </c>
      <c r="Q10" s="30">
        <f>(VLOOKUP('Титульный лист'!$I$12,К!$A$17:$Y$28,16,FALSE))*К!P30*'Титульный лист'!$I$19</f>
        <v>0</v>
      </c>
      <c r="R10" s="30">
        <f>(VLOOKUP('Титульный лист'!$I$12,К!$A$17:$Y$28,17,FALSE))*К!Q30*'Титульный лист'!$I$19</f>
        <v>0</v>
      </c>
      <c r="S10" s="30">
        <f>(VLOOKUP('Титульный лист'!$I$12,К!$A$17:$Y$28,18,FALSE))*К!R30*'Титульный лист'!$I$19</f>
        <v>0</v>
      </c>
      <c r="T10" s="30">
        <f>(VLOOKUP('Титульный лист'!$I$12,К!$A$17:$Y$28,19,FALSE))*К!S30*'Титульный лист'!$I$19</f>
        <v>0</v>
      </c>
      <c r="U10" s="30">
        <f>(VLOOKUP('Титульный лист'!$I$12,К!$A$17:$Y$28,20,FALSE))*К!T30*'Титульный лист'!$I$19</f>
        <v>0</v>
      </c>
      <c r="V10" s="30">
        <f>(VLOOKUP('Титульный лист'!$I$12,К!$A$17:$Y$28,21,FALSE))*К!U30*'Титульный лист'!$I$19</f>
        <v>0</v>
      </c>
      <c r="W10" s="30">
        <f>(VLOOKUP('Титульный лист'!$I$12,К!$A$17:$Y$28,22,FALSE))*К!V30*'Титульный лист'!$I$19</f>
        <v>0</v>
      </c>
      <c r="X10" s="30">
        <f>(VLOOKUP('Титульный лист'!$I$12,К!$A$17:$Y$28,23,FALSE))*К!W30*'Титульный лист'!$I$19</f>
        <v>0</v>
      </c>
      <c r="Y10" s="30">
        <f>(VLOOKUP('Титульный лист'!$I$12,К!$A$17:$Y$28,24,FALSE))*К!X30*'Титульный лист'!$I$19</f>
        <v>0</v>
      </c>
      <c r="Z10" s="30">
        <f>(VLOOKUP('Титульный лист'!$I$12,К!$A$17:$Y$28,25,FALSE))*К!Y30*'Титульный лист'!$I$19</f>
        <v>0</v>
      </c>
    </row>
    <row r="11" spans="1:26" x14ac:dyDescent="0.3">
      <c r="A11" s="106"/>
      <c r="B11" s="29" t="s">
        <v>173</v>
      </c>
      <c r="C11" s="30">
        <f>'Титульный лист'!$I$20*(1+'Титульный лист'!$I$21/100)</f>
        <v>0</v>
      </c>
      <c r="D11" s="30">
        <f>'Титульный лист'!$I$20*(1+'Титульный лист'!$I$21/100)</f>
        <v>0</v>
      </c>
      <c r="E11" s="30">
        <f>'Титульный лист'!$I$20*(1+'Титульный лист'!$I$21/100)</f>
        <v>0</v>
      </c>
      <c r="F11" s="30">
        <f>'Титульный лист'!$I$20*(1+'Титульный лист'!$I$21/100)</f>
        <v>0</v>
      </c>
      <c r="G11" s="30">
        <f>'Титульный лист'!$I$20*(1+'Титульный лист'!$I$21/100)</f>
        <v>0</v>
      </c>
      <c r="H11" s="30">
        <f>'Титульный лист'!$I$20*(1+'Титульный лист'!$I$21/100)</f>
        <v>0</v>
      </c>
      <c r="I11" s="30">
        <f>'Титульный лист'!$I$20*(1+'Титульный лист'!$I$21/100)</f>
        <v>0</v>
      </c>
      <c r="J11" s="30">
        <f>'Титульный лист'!$I$20*(1+'Титульный лист'!$I$21/100)</f>
        <v>0</v>
      </c>
      <c r="K11" s="30">
        <f>'Титульный лист'!$I$20*(1+'Титульный лист'!$I$21/100)</f>
        <v>0</v>
      </c>
      <c r="L11" s="30">
        <f>'Титульный лист'!$I$20*(1+'Титульный лист'!$I$21/100)</f>
        <v>0</v>
      </c>
      <c r="M11" s="30">
        <f>'Титульный лист'!$I$20*(1+'Титульный лист'!$I$21/100)</f>
        <v>0</v>
      </c>
      <c r="N11" s="30">
        <f>'Титульный лист'!$I$20*(1+'Титульный лист'!$I$21/100)</f>
        <v>0</v>
      </c>
      <c r="O11" s="30">
        <f>'Титульный лист'!$I$20*(1+'Титульный лист'!$I$21/100)</f>
        <v>0</v>
      </c>
      <c r="P11" s="30">
        <f>'Титульный лист'!$I$20*(1+'Титульный лист'!$I$21/100)</f>
        <v>0</v>
      </c>
      <c r="Q11" s="30">
        <f>'Титульный лист'!$I$20*(1+'Титульный лист'!$I$21/100)</f>
        <v>0</v>
      </c>
      <c r="R11" s="30">
        <f>'Титульный лист'!$I$20*(1+'Титульный лист'!$I$21/100)</f>
        <v>0</v>
      </c>
      <c r="S11" s="30">
        <f>'Титульный лист'!$I$20*(1+'Титульный лист'!$I$21/100)</f>
        <v>0</v>
      </c>
      <c r="T11" s="30">
        <f>'Титульный лист'!$I$20*(1+'Титульный лист'!$I$21/100)</f>
        <v>0</v>
      </c>
      <c r="U11" s="30">
        <f>'Титульный лист'!$I$20*(1+'Титульный лист'!$I$21/100)</f>
        <v>0</v>
      </c>
      <c r="V11" s="30">
        <f>'Титульный лист'!$I$20*(1+'Титульный лист'!$I$21/100)</f>
        <v>0</v>
      </c>
      <c r="W11" s="30">
        <f>'Титульный лист'!$I$20*(1+'Титульный лист'!$I$21/100)</f>
        <v>0</v>
      </c>
      <c r="X11" s="30">
        <f>'Титульный лист'!$I$20*(1+'Титульный лист'!$I$21/100)</f>
        <v>0</v>
      </c>
      <c r="Y11" s="30">
        <f>'Титульный лист'!$I$20*(1+'Титульный лист'!$I$21/100)</f>
        <v>0</v>
      </c>
      <c r="Z11" s="30">
        <f>'Титульный лист'!$I$20*(1+'Титульный лист'!$I$21/100)</f>
        <v>0</v>
      </c>
    </row>
    <row r="12" spans="1:26" x14ac:dyDescent="0.3">
      <c r="A12" s="31"/>
      <c r="B12" s="32" t="s">
        <v>44</v>
      </c>
      <c r="C12" s="30">
        <f>C4*C5+C6*C7+C8*C9+C10*C11</f>
        <v>68411200</v>
      </c>
      <c r="D12" s="30">
        <f t="shared" ref="D12:Z12" si="0">D4*D5+D6*D7+D8*D9+D10*D11</f>
        <v>102616800</v>
      </c>
      <c r="E12" s="30">
        <f t="shared" si="0"/>
        <v>136822400</v>
      </c>
      <c r="F12" s="30">
        <f t="shared" si="0"/>
        <v>153925200</v>
      </c>
      <c r="G12" s="30">
        <f t="shared" si="0"/>
        <v>171028000</v>
      </c>
      <c r="H12" s="30">
        <f t="shared" si="0"/>
        <v>171028000</v>
      </c>
      <c r="I12" s="30">
        <f t="shared" si="0"/>
        <v>171028000</v>
      </c>
      <c r="J12" s="30">
        <f t="shared" si="0"/>
        <v>171028000</v>
      </c>
      <c r="K12" s="30">
        <f t="shared" si="0"/>
        <v>171028000</v>
      </c>
      <c r="L12" s="30">
        <f t="shared" si="0"/>
        <v>171028000</v>
      </c>
      <c r="M12" s="30">
        <f t="shared" si="0"/>
        <v>171028000</v>
      </c>
      <c r="N12" s="30">
        <f t="shared" si="0"/>
        <v>171028000</v>
      </c>
      <c r="O12" s="30">
        <f t="shared" si="0"/>
        <v>171028000</v>
      </c>
      <c r="P12" s="30">
        <f t="shared" si="0"/>
        <v>171028000</v>
      </c>
      <c r="Q12" s="30">
        <f t="shared" si="0"/>
        <v>171028000</v>
      </c>
      <c r="R12" s="30">
        <f t="shared" si="0"/>
        <v>171028000</v>
      </c>
      <c r="S12" s="30">
        <f t="shared" si="0"/>
        <v>171028000</v>
      </c>
      <c r="T12" s="30">
        <f t="shared" si="0"/>
        <v>171028000</v>
      </c>
      <c r="U12" s="30">
        <f t="shared" si="0"/>
        <v>171028000</v>
      </c>
      <c r="V12" s="30">
        <f t="shared" si="0"/>
        <v>171028000</v>
      </c>
      <c r="W12" s="30">
        <f t="shared" si="0"/>
        <v>171028000</v>
      </c>
      <c r="X12" s="30">
        <f t="shared" si="0"/>
        <v>171028000</v>
      </c>
      <c r="Y12" s="30">
        <f t="shared" si="0"/>
        <v>171028000</v>
      </c>
      <c r="Z12" s="30">
        <f t="shared" si="0"/>
        <v>171028000</v>
      </c>
    </row>
    <row r="16" spans="1:26" x14ac:dyDescent="0.3">
      <c r="B16" s="47"/>
      <c r="C16" s="47"/>
      <c r="D16" s="47"/>
      <c r="E16" s="47"/>
    </row>
    <row r="17" spans="2:5" x14ac:dyDescent="0.3">
      <c r="B17" s="47"/>
      <c r="C17" s="47"/>
      <c r="D17" s="47"/>
      <c r="E17" s="47"/>
    </row>
    <row r="18" spans="2:5" x14ac:dyDescent="0.3">
      <c r="B18" s="47"/>
      <c r="C18" s="47"/>
      <c r="D18" s="47"/>
      <c r="E18" s="47"/>
    </row>
    <row r="19" spans="2:5" x14ac:dyDescent="0.3">
      <c r="B19" s="47"/>
      <c r="C19" s="47"/>
      <c r="D19" s="47"/>
      <c r="E19" s="47"/>
    </row>
    <row r="20" spans="2:5" x14ac:dyDescent="0.3">
      <c r="B20" s="47"/>
      <c r="C20" s="47"/>
      <c r="D20" s="47"/>
      <c r="E20" s="47"/>
    </row>
    <row r="21" spans="2:5" x14ac:dyDescent="0.3">
      <c r="B21" s="47"/>
      <c r="C21" s="47"/>
      <c r="D21" s="47"/>
      <c r="E21" s="47"/>
    </row>
    <row r="22" spans="2:5" x14ac:dyDescent="0.3">
      <c r="B22" s="47"/>
      <c r="C22" s="47"/>
      <c r="D22" s="47"/>
      <c r="E22" s="47"/>
    </row>
    <row r="23" spans="2:5" x14ac:dyDescent="0.3">
      <c r="B23" s="47"/>
      <c r="C23" s="47"/>
      <c r="D23" s="47"/>
      <c r="E23" s="47"/>
    </row>
    <row r="24" spans="2:5" x14ac:dyDescent="0.3">
      <c r="B24" s="47"/>
      <c r="C24" s="47"/>
      <c r="D24" s="47"/>
      <c r="E24" s="47"/>
    </row>
    <row r="25" spans="2:5" x14ac:dyDescent="0.3">
      <c r="B25" s="47"/>
      <c r="C25" s="47"/>
      <c r="D25" s="47"/>
      <c r="E25" s="47"/>
    </row>
    <row r="26" spans="2:5" x14ac:dyDescent="0.3">
      <c r="B26" s="47"/>
      <c r="C26" s="47"/>
      <c r="D26" s="47"/>
      <c r="E26" s="47"/>
    </row>
    <row r="27" spans="2:5" x14ac:dyDescent="0.3">
      <c r="B27" s="47"/>
      <c r="C27" s="47"/>
      <c r="D27" s="47"/>
      <c r="E27" s="47"/>
    </row>
    <row r="28" spans="2:5" x14ac:dyDescent="0.3">
      <c r="B28" s="47"/>
      <c r="C28" s="47"/>
      <c r="D28" s="47"/>
      <c r="E28" s="47"/>
    </row>
    <row r="29" spans="2:5" x14ac:dyDescent="0.3">
      <c r="B29" s="47"/>
      <c r="C29" s="47"/>
      <c r="D29" s="47"/>
      <c r="E29" s="47"/>
    </row>
    <row r="30" spans="2:5" x14ac:dyDescent="0.3">
      <c r="B30" s="47"/>
      <c r="C30" s="47"/>
      <c r="D30" s="47"/>
      <c r="E30" s="47"/>
    </row>
    <row r="31" spans="2:5" x14ac:dyDescent="0.3">
      <c r="B31" s="47"/>
      <c r="C31" s="47"/>
      <c r="D31" s="47"/>
      <c r="E31" s="47"/>
    </row>
    <row r="32" spans="2:5" x14ac:dyDescent="0.3">
      <c r="B32" s="47"/>
      <c r="C32" s="47"/>
      <c r="D32" s="47"/>
      <c r="E32" s="47"/>
    </row>
    <row r="33" spans="2:5" x14ac:dyDescent="0.3">
      <c r="B33" s="47"/>
      <c r="C33" s="47"/>
      <c r="D33" s="47"/>
      <c r="E33" s="47"/>
    </row>
    <row r="34" spans="2:5" x14ac:dyDescent="0.3">
      <c r="B34" s="47"/>
      <c r="C34" s="47"/>
      <c r="D34" s="47"/>
      <c r="E34" s="47"/>
    </row>
  </sheetData>
  <mergeCells count="4">
    <mergeCell ref="C1:Z1"/>
    <mergeCell ref="B1:B3"/>
    <mergeCell ref="A1:A3"/>
    <mergeCell ref="A4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Y21"/>
  <sheetViews>
    <sheetView showGridLines="0" workbookViewId="0">
      <selection activeCell="G32" sqref="G32"/>
    </sheetView>
  </sheetViews>
  <sheetFormatPr defaultRowHeight="18.75" x14ac:dyDescent="0.3"/>
  <cols>
    <col min="1" max="1" width="40.85546875" style="61" bestFit="1" customWidth="1"/>
    <col min="2" max="2" width="13.7109375" style="47" customWidth="1"/>
    <col min="3" max="3" width="16.140625" style="47" customWidth="1"/>
    <col min="4" max="25" width="13.7109375" style="61" customWidth="1"/>
    <col min="26" max="16384" width="9.140625" style="61"/>
  </cols>
  <sheetData>
    <row r="1" spans="1:5" s="70" customFormat="1" ht="37.5" customHeight="1" x14ac:dyDescent="0.3">
      <c r="A1" s="67" t="s">
        <v>110</v>
      </c>
      <c r="B1" s="68" t="s">
        <v>102</v>
      </c>
      <c r="C1" s="68" t="s">
        <v>98</v>
      </c>
      <c r="D1" s="68" t="s">
        <v>103</v>
      </c>
      <c r="E1" s="69" t="s">
        <v>113</v>
      </c>
    </row>
    <row r="2" spans="1:5" x14ac:dyDescent="0.3">
      <c r="A2" s="71" t="s">
        <v>124</v>
      </c>
      <c r="B2" s="30">
        <f>'Титульный лист'!$I$24</f>
        <v>800000</v>
      </c>
      <c r="C2" s="30">
        <v>1</v>
      </c>
      <c r="D2" s="30">
        <f>B2*C2</f>
        <v>800000</v>
      </c>
      <c r="E2" s="30">
        <f>B2+AVERAGE(B18:Y18)/C2</f>
        <v>800000</v>
      </c>
    </row>
    <row r="3" spans="1:5" x14ac:dyDescent="0.3">
      <c r="A3" s="71" t="s">
        <v>158</v>
      </c>
      <c r="B3" s="30">
        <f>'Титульный лист'!$I$25</f>
        <v>400000</v>
      </c>
      <c r="C3" s="30">
        <v>1</v>
      </c>
      <c r="D3" s="30">
        <f>B3*C3</f>
        <v>400000</v>
      </c>
      <c r="E3" s="30">
        <f>B3+AVERAGE(B19:Y19)/C3</f>
        <v>400000</v>
      </c>
    </row>
    <row r="4" spans="1:5" x14ac:dyDescent="0.3">
      <c r="A4" s="71" t="s">
        <v>127</v>
      </c>
      <c r="B4" s="30">
        <f>'Титульный лист'!I26</f>
        <v>300000</v>
      </c>
      <c r="C4" s="30">
        <v>1</v>
      </c>
      <c r="D4" s="30">
        <f>B4*C4</f>
        <v>300000</v>
      </c>
      <c r="E4" s="30">
        <f>B4</f>
        <v>300000</v>
      </c>
    </row>
    <row r="5" spans="1:5" x14ac:dyDescent="0.3">
      <c r="A5" s="71" t="s">
        <v>128</v>
      </c>
      <c r="B5" s="30">
        <f>'Титульный лист'!I27</f>
        <v>200000</v>
      </c>
      <c r="C5" s="30">
        <v>1</v>
      </c>
      <c r="D5" s="30">
        <f t="shared" ref="D5:D11" si="0">B5*C5</f>
        <v>200000</v>
      </c>
      <c r="E5" s="30">
        <f t="shared" ref="E5:E11" si="1">B5</f>
        <v>200000</v>
      </c>
    </row>
    <row r="6" spans="1:5" x14ac:dyDescent="0.3">
      <c r="A6" s="71" t="s">
        <v>129</v>
      </c>
      <c r="B6" s="30">
        <f>'Титульный лист'!I28</f>
        <v>200000</v>
      </c>
      <c r="C6" s="30">
        <v>1</v>
      </c>
      <c r="D6" s="30">
        <f t="shared" si="0"/>
        <v>200000</v>
      </c>
      <c r="E6" s="30">
        <f t="shared" si="1"/>
        <v>200000</v>
      </c>
    </row>
    <row r="7" spans="1:5" x14ac:dyDescent="0.3">
      <c r="A7" s="71" t="s">
        <v>130</v>
      </c>
      <c r="B7" s="30">
        <f>'Титульный лист'!I29</f>
        <v>200000</v>
      </c>
      <c r="C7" s="30">
        <v>1</v>
      </c>
      <c r="D7" s="30">
        <f t="shared" si="0"/>
        <v>200000</v>
      </c>
      <c r="E7" s="30">
        <f t="shared" si="1"/>
        <v>200000</v>
      </c>
    </row>
    <row r="8" spans="1:5" x14ac:dyDescent="0.3">
      <c r="A8" s="71" t="s">
        <v>131</v>
      </c>
      <c r="B8" s="30">
        <f>'Титульный лист'!I30</f>
        <v>200000</v>
      </c>
      <c r="C8" s="30">
        <v>1</v>
      </c>
      <c r="D8" s="30">
        <f t="shared" si="0"/>
        <v>200000</v>
      </c>
      <c r="E8" s="30">
        <f t="shared" si="1"/>
        <v>200000</v>
      </c>
    </row>
    <row r="9" spans="1:5" x14ac:dyDescent="0.3">
      <c r="A9" s="71" t="s">
        <v>132</v>
      </c>
      <c r="B9" s="30">
        <f>'Титульный лист'!I31</f>
        <v>0</v>
      </c>
      <c r="C9" s="30">
        <v>1</v>
      </c>
      <c r="D9" s="30">
        <f t="shared" si="0"/>
        <v>0</v>
      </c>
      <c r="E9" s="30">
        <f t="shared" si="1"/>
        <v>0</v>
      </c>
    </row>
    <row r="10" spans="1:5" x14ac:dyDescent="0.3">
      <c r="A10" s="71" t="s">
        <v>133</v>
      </c>
      <c r="B10" s="30">
        <f>'Титульный лист'!I33</f>
        <v>200000</v>
      </c>
      <c r="C10" s="30">
        <v>1</v>
      </c>
      <c r="D10" s="30">
        <f t="shared" si="0"/>
        <v>200000</v>
      </c>
      <c r="E10" s="30">
        <f t="shared" si="1"/>
        <v>200000</v>
      </c>
    </row>
    <row r="11" spans="1:5" x14ac:dyDescent="0.3">
      <c r="A11" s="71" t="s">
        <v>157</v>
      </c>
      <c r="B11" s="30">
        <v>25000</v>
      </c>
      <c r="C11" s="30">
        <v>1</v>
      </c>
      <c r="D11" s="30">
        <f t="shared" si="0"/>
        <v>25000</v>
      </c>
      <c r="E11" s="30">
        <f t="shared" si="1"/>
        <v>25000</v>
      </c>
    </row>
    <row r="12" spans="1:5" x14ac:dyDescent="0.3">
      <c r="A12" s="71" t="s">
        <v>99</v>
      </c>
      <c r="B12" s="30"/>
      <c r="C12" s="30"/>
      <c r="D12" s="30">
        <f>SUM(D2:D4)*0.3</f>
        <v>450000</v>
      </c>
      <c r="E12" s="30"/>
    </row>
    <row r="13" spans="1:5" x14ac:dyDescent="0.3">
      <c r="A13" s="72" t="s">
        <v>100</v>
      </c>
      <c r="B13" s="30"/>
      <c r="C13" s="30"/>
      <c r="D13" s="30">
        <f>SUM(D2:D12)</f>
        <v>2975000</v>
      </c>
      <c r="E13" s="30"/>
    </row>
    <row r="14" spans="1:5" x14ac:dyDescent="0.3">
      <c r="A14" s="47"/>
      <c r="B14" s="62"/>
      <c r="C14" s="62"/>
    </row>
    <row r="16" spans="1:5" x14ac:dyDescent="0.3">
      <c r="A16" s="73" t="s">
        <v>109</v>
      </c>
    </row>
    <row r="17" spans="1:25" x14ac:dyDescent="0.3">
      <c r="A17" s="74"/>
      <c r="B17" s="74" t="s">
        <v>2</v>
      </c>
      <c r="C17" s="74" t="s">
        <v>3</v>
      </c>
      <c r="D17" s="74" t="s">
        <v>4</v>
      </c>
      <c r="E17" s="74" t="s">
        <v>5</v>
      </c>
      <c r="F17" s="74" t="s">
        <v>6</v>
      </c>
      <c r="G17" s="74" t="s">
        <v>7</v>
      </c>
      <c r="H17" s="74" t="s">
        <v>8</v>
      </c>
      <c r="I17" s="74" t="s">
        <v>9</v>
      </c>
      <c r="J17" s="74" t="s">
        <v>10</v>
      </c>
      <c r="K17" s="74" t="s">
        <v>11</v>
      </c>
      <c r="L17" s="74" t="s">
        <v>12</v>
      </c>
      <c r="M17" s="74" t="s">
        <v>13</v>
      </c>
      <c r="N17" s="74" t="s">
        <v>32</v>
      </c>
      <c r="O17" s="74" t="s">
        <v>33</v>
      </c>
      <c r="P17" s="74" t="s">
        <v>34</v>
      </c>
      <c r="Q17" s="74" t="s">
        <v>35</v>
      </c>
      <c r="R17" s="74" t="s">
        <v>36</v>
      </c>
      <c r="S17" s="74" t="s">
        <v>37</v>
      </c>
      <c r="T17" s="74" t="s">
        <v>38</v>
      </c>
      <c r="U17" s="74" t="s">
        <v>39</v>
      </c>
      <c r="V17" s="74" t="s">
        <v>40</v>
      </c>
      <c r="W17" s="74" t="s">
        <v>41</v>
      </c>
      <c r="X17" s="74" t="s">
        <v>42</v>
      </c>
      <c r="Y17" s="74" t="s">
        <v>43</v>
      </c>
    </row>
    <row r="18" spans="1:25" x14ac:dyDescent="0.3">
      <c r="A18" s="71" t="s">
        <v>124</v>
      </c>
      <c r="B18" s="75">
        <f>Продажи!C12*'Титульный лист'!$I$34/100</f>
        <v>0</v>
      </c>
      <c r="C18" s="75">
        <f>Продажи!D12*'Титульный лист'!$I$34/100</f>
        <v>0</v>
      </c>
      <c r="D18" s="75">
        <f>Продажи!E12*'Титульный лист'!$I$34/100</f>
        <v>0</v>
      </c>
      <c r="E18" s="75">
        <f>Продажи!F12*'Титульный лист'!$I$34/100</f>
        <v>0</v>
      </c>
      <c r="F18" s="75">
        <f>Продажи!G12*'Титульный лист'!$I$34/100</f>
        <v>0</v>
      </c>
      <c r="G18" s="75">
        <f>Продажи!H12*'Титульный лист'!$I$34/100</f>
        <v>0</v>
      </c>
      <c r="H18" s="75">
        <f>Продажи!I12*'Титульный лист'!$I$34/100</f>
        <v>0</v>
      </c>
      <c r="I18" s="75">
        <f>Продажи!J12*'Титульный лист'!$I$34/100</f>
        <v>0</v>
      </c>
      <c r="J18" s="75">
        <f>Продажи!K12*'Титульный лист'!$I$34/100</f>
        <v>0</v>
      </c>
      <c r="K18" s="75">
        <f>Продажи!L12*'Титульный лист'!$I$34/100</f>
        <v>0</v>
      </c>
      <c r="L18" s="75">
        <f>Продажи!M12*'Титульный лист'!$I$34/100</f>
        <v>0</v>
      </c>
      <c r="M18" s="75">
        <f>Продажи!N12*'Титульный лист'!$I$34/100</f>
        <v>0</v>
      </c>
      <c r="N18" s="75">
        <f>Продажи!O12*'Титульный лист'!$I$34/100</f>
        <v>0</v>
      </c>
      <c r="O18" s="75">
        <f>Продажи!P12*'Титульный лист'!$I$34/100</f>
        <v>0</v>
      </c>
      <c r="P18" s="75">
        <f>Продажи!Q12*'Титульный лист'!$I$34/100</f>
        <v>0</v>
      </c>
      <c r="Q18" s="75">
        <f>Продажи!R12*'Титульный лист'!$I$34/100</f>
        <v>0</v>
      </c>
      <c r="R18" s="75">
        <f>Продажи!S12*'Титульный лист'!$I$34/100</f>
        <v>0</v>
      </c>
      <c r="S18" s="75">
        <f>Продажи!T12*'Титульный лист'!$I$34/100</f>
        <v>0</v>
      </c>
      <c r="T18" s="75">
        <f>Продажи!U12*'Титульный лист'!$I$34/100</f>
        <v>0</v>
      </c>
      <c r="U18" s="75">
        <f>Продажи!V12*'Титульный лист'!$I$34/100</f>
        <v>0</v>
      </c>
      <c r="V18" s="75">
        <f>Продажи!W12*'Титульный лист'!$I$34/100</f>
        <v>0</v>
      </c>
      <c r="W18" s="75">
        <f>Продажи!X12*'Титульный лист'!$I$34/100</f>
        <v>0</v>
      </c>
      <c r="X18" s="75">
        <f>Продажи!Y12*'Титульный лист'!$I$34/100</f>
        <v>0</v>
      </c>
      <c r="Y18" s="75">
        <f>Продажи!Z12*'Титульный лист'!$I$34/100</f>
        <v>0</v>
      </c>
    </row>
    <row r="19" spans="1:25" x14ac:dyDescent="0.3">
      <c r="A19" s="71" t="s">
        <v>158</v>
      </c>
      <c r="B19" s="75">
        <f>Продажи!C12*'Титульный лист'!$I$35/100</f>
        <v>0</v>
      </c>
      <c r="C19" s="75">
        <f>Продажи!D12*'Титульный лист'!$I$35/100</f>
        <v>0</v>
      </c>
      <c r="D19" s="75">
        <f>Продажи!E12*'Титульный лист'!$I$35/100</f>
        <v>0</v>
      </c>
      <c r="E19" s="75">
        <f>Продажи!F12*'Титульный лист'!$I$35/100</f>
        <v>0</v>
      </c>
      <c r="F19" s="75">
        <f>Продажи!G12*'Титульный лист'!$I$35/100</f>
        <v>0</v>
      </c>
      <c r="G19" s="75">
        <f>Продажи!H12*'Титульный лист'!$I$35/100</f>
        <v>0</v>
      </c>
      <c r="H19" s="75">
        <f>Продажи!I12*'Титульный лист'!$I$35/100</f>
        <v>0</v>
      </c>
      <c r="I19" s="75">
        <f>Продажи!J12*'Титульный лист'!$I$35/100</f>
        <v>0</v>
      </c>
      <c r="J19" s="75">
        <f>Продажи!K12*'Титульный лист'!$I$35/100</f>
        <v>0</v>
      </c>
      <c r="K19" s="75">
        <f>Продажи!L12*'Титульный лист'!$I$35/100</f>
        <v>0</v>
      </c>
      <c r="L19" s="75">
        <f>Продажи!M12*'Титульный лист'!$I$35/100</f>
        <v>0</v>
      </c>
      <c r="M19" s="75">
        <f>Продажи!N12*'Титульный лист'!$I$35/100</f>
        <v>0</v>
      </c>
      <c r="N19" s="75">
        <f>Продажи!O12*'Титульный лист'!$I$35/100</f>
        <v>0</v>
      </c>
      <c r="O19" s="75">
        <f>Продажи!P12*'Титульный лист'!$I$35/100</f>
        <v>0</v>
      </c>
      <c r="P19" s="75">
        <f>Продажи!Q12*'Титульный лист'!$I$35/100</f>
        <v>0</v>
      </c>
      <c r="Q19" s="75">
        <f>Продажи!R12*'Титульный лист'!$I$35/100</f>
        <v>0</v>
      </c>
      <c r="R19" s="75">
        <f>Продажи!S12*'Титульный лист'!$I$35/100</f>
        <v>0</v>
      </c>
      <c r="S19" s="75">
        <f>Продажи!T12*'Титульный лист'!$I$35/100</f>
        <v>0</v>
      </c>
      <c r="T19" s="75">
        <f>Продажи!U12*'Титульный лист'!$I$35/100</f>
        <v>0</v>
      </c>
      <c r="U19" s="75">
        <f>Продажи!V12*'Титульный лист'!$I$35/100</f>
        <v>0</v>
      </c>
      <c r="V19" s="75">
        <f>Продажи!W12*'Титульный лист'!$I$35/100</f>
        <v>0</v>
      </c>
      <c r="W19" s="75">
        <f>Продажи!X12*'Титульный лист'!$I$35/100</f>
        <v>0</v>
      </c>
      <c r="X19" s="75">
        <f>Продажи!Y12*'Титульный лист'!$I$35/100</f>
        <v>0</v>
      </c>
      <c r="Y19" s="75">
        <f>Продажи!Z12*'Титульный лист'!$I$35/100</f>
        <v>0</v>
      </c>
    </row>
    <row r="20" spans="1:25" x14ac:dyDescent="0.3">
      <c r="A20" s="71" t="s">
        <v>111</v>
      </c>
      <c r="B20" s="75">
        <f>$D$13</f>
        <v>2975000</v>
      </c>
      <c r="C20" s="75">
        <f t="shared" ref="C20:Y20" si="2">$D$13</f>
        <v>2975000</v>
      </c>
      <c r="D20" s="75">
        <f t="shared" si="2"/>
        <v>2975000</v>
      </c>
      <c r="E20" s="75">
        <f t="shared" si="2"/>
        <v>2975000</v>
      </c>
      <c r="F20" s="75">
        <f t="shared" si="2"/>
        <v>2975000</v>
      </c>
      <c r="G20" s="75">
        <f t="shared" si="2"/>
        <v>2975000</v>
      </c>
      <c r="H20" s="75">
        <f t="shared" si="2"/>
        <v>2975000</v>
      </c>
      <c r="I20" s="75">
        <f t="shared" si="2"/>
        <v>2975000</v>
      </c>
      <c r="J20" s="75">
        <f t="shared" si="2"/>
        <v>2975000</v>
      </c>
      <c r="K20" s="75">
        <f t="shared" si="2"/>
        <v>2975000</v>
      </c>
      <c r="L20" s="75">
        <f t="shared" si="2"/>
        <v>2975000</v>
      </c>
      <c r="M20" s="75">
        <f t="shared" si="2"/>
        <v>2975000</v>
      </c>
      <c r="N20" s="75">
        <f t="shared" si="2"/>
        <v>2975000</v>
      </c>
      <c r="O20" s="75">
        <f t="shared" si="2"/>
        <v>2975000</v>
      </c>
      <c r="P20" s="75">
        <f t="shared" si="2"/>
        <v>2975000</v>
      </c>
      <c r="Q20" s="75">
        <f t="shared" si="2"/>
        <v>2975000</v>
      </c>
      <c r="R20" s="75">
        <f t="shared" si="2"/>
        <v>2975000</v>
      </c>
      <c r="S20" s="75">
        <f t="shared" si="2"/>
        <v>2975000</v>
      </c>
      <c r="T20" s="75">
        <f t="shared" si="2"/>
        <v>2975000</v>
      </c>
      <c r="U20" s="75">
        <f t="shared" si="2"/>
        <v>2975000</v>
      </c>
      <c r="V20" s="75">
        <f t="shared" si="2"/>
        <v>2975000</v>
      </c>
      <c r="W20" s="75">
        <f t="shared" si="2"/>
        <v>2975000</v>
      </c>
      <c r="X20" s="75">
        <f t="shared" si="2"/>
        <v>2975000</v>
      </c>
      <c r="Y20" s="75">
        <f t="shared" si="2"/>
        <v>2975000</v>
      </c>
    </row>
    <row r="21" spans="1:25" x14ac:dyDescent="0.3">
      <c r="A21" s="72" t="s">
        <v>100</v>
      </c>
      <c r="B21" s="75">
        <f>SUM(B18:B20)</f>
        <v>2975000</v>
      </c>
      <c r="C21" s="75">
        <f t="shared" ref="C21:Y21" si="3">SUM(C18:C20)</f>
        <v>2975000</v>
      </c>
      <c r="D21" s="75">
        <f t="shared" si="3"/>
        <v>2975000</v>
      </c>
      <c r="E21" s="75">
        <f t="shared" si="3"/>
        <v>2975000</v>
      </c>
      <c r="F21" s="75">
        <f t="shared" si="3"/>
        <v>2975000</v>
      </c>
      <c r="G21" s="75">
        <f t="shared" si="3"/>
        <v>2975000</v>
      </c>
      <c r="H21" s="75">
        <f t="shared" si="3"/>
        <v>2975000</v>
      </c>
      <c r="I21" s="75">
        <f t="shared" si="3"/>
        <v>2975000</v>
      </c>
      <c r="J21" s="75">
        <f t="shared" si="3"/>
        <v>2975000</v>
      </c>
      <c r="K21" s="75">
        <f t="shared" si="3"/>
        <v>2975000</v>
      </c>
      <c r="L21" s="75">
        <f t="shared" si="3"/>
        <v>2975000</v>
      </c>
      <c r="M21" s="75">
        <f t="shared" si="3"/>
        <v>2975000</v>
      </c>
      <c r="N21" s="75">
        <f t="shared" si="3"/>
        <v>2975000</v>
      </c>
      <c r="O21" s="75">
        <f t="shared" si="3"/>
        <v>2975000</v>
      </c>
      <c r="P21" s="75">
        <f t="shared" si="3"/>
        <v>2975000</v>
      </c>
      <c r="Q21" s="75">
        <f t="shared" si="3"/>
        <v>2975000</v>
      </c>
      <c r="R21" s="75">
        <f t="shared" si="3"/>
        <v>2975000</v>
      </c>
      <c r="S21" s="75">
        <f t="shared" si="3"/>
        <v>2975000</v>
      </c>
      <c r="T21" s="75">
        <f t="shared" si="3"/>
        <v>2975000</v>
      </c>
      <c r="U21" s="75">
        <f t="shared" si="3"/>
        <v>2975000</v>
      </c>
      <c r="V21" s="75">
        <f t="shared" si="3"/>
        <v>2975000</v>
      </c>
      <c r="W21" s="75">
        <f t="shared" si="3"/>
        <v>2975000</v>
      </c>
      <c r="X21" s="75">
        <f t="shared" si="3"/>
        <v>2975000</v>
      </c>
      <c r="Y21" s="75">
        <f t="shared" si="3"/>
        <v>2975000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C49"/>
  <sheetViews>
    <sheetView showGridLines="0" workbookViewId="0">
      <selection sqref="A1:XFD1048576"/>
    </sheetView>
  </sheetViews>
  <sheetFormatPr defaultRowHeight="15" x14ac:dyDescent="0.25"/>
  <cols>
    <col min="1" max="12" width="9.140625" style="78"/>
    <col min="13" max="27" width="9.140625" style="78" customWidth="1"/>
    <col min="28" max="28" width="16.85546875" style="78" customWidth="1"/>
    <col min="29" max="29" width="17.140625" style="78" customWidth="1"/>
    <col min="30" max="30" width="9.140625" style="78" customWidth="1"/>
    <col min="31" max="16384" width="9.140625" style="78"/>
  </cols>
  <sheetData>
    <row r="1" spans="1:29" ht="20.25" customHeight="1" x14ac:dyDescent="0.3">
      <c r="A1" s="108" t="s">
        <v>70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76"/>
      <c r="T1" s="76"/>
      <c r="U1" s="76"/>
      <c r="V1" s="76"/>
      <c r="W1" s="76"/>
      <c r="X1" s="76"/>
      <c r="Y1" s="76"/>
      <c r="Z1" s="76"/>
      <c r="AA1" s="77"/>
      <c r="AB1" s="107" t="s">
        <v>83</v>
      </c>
      <c r="AC1" s="107"/>
    </row>
    <row r="2" spans="1:29" ht="18.75" customHeight="1" x14ac:dyDescent="0.3">
      <c r="A2" s="76"/>
      <c r="B2" s="76">
        <v>1</v>
      </c>
      <c r="C2" s="76">
        <v>2</v>
      </c>
      <c r="D2" s="76">
        <v>3</v>
      </c>
      <c r="E2" s="76">
        <v>4</v>
      </c>
      <c r="F2" s="76">
        <v>5</v>
      </c>
      <c r="G2" s="76">
        <v>6</v>
      </c>
      <c r="H2" s="76">
        <v>7</v>
      </c>
      <c r="I2" s="76">
        <v>8</v>
      </c>
      <c r="J2" s="76">
        <v>9</v>
      </c>
      <c r="K2" s="76">
        <v>10</v>
      </c>
      <c r="L2" s="76">
        <v>11</v>
      </c>
      <c r="M2" s="76">
        <v>12</v>
      </c>
      <c r="N2" s="76">
        <v>13</v>
      </c>
      <c r="O2" s="76">
        <v>14</v>
      </c>
      <c r="P2" s="76">
        <v>15</v>
      </c>
      <c r="Q2" s="76">
        <v>16</v>
      </c>
      <c r="R2" s="76">
        <v>17</v>
      </c>
      <c r="S2" s="76">
        <v>18</v>
      </c>
      <c r="T2" s="76">
        <v>19</v>
      </c>
      <c r="U2" s="76">
        <v>20</v>
      </c>
      <c r="V2" s="76">
        <v>21</v>
      </c>
      <c r="W2" s="76">
        <v>22</v>
      </c>
      <c r="X2" s="76">
        <v>23</v>
      </c>
      <c r="Y2" s="76">
        <v>24</v>
      </c>
      <c r="Z2" s="76">
        <v>25</v>
      </c>
      <c r="AA2" s="77"/>
      <c r="AB2" s="107"/>
      <c r="AC2" s="107"/>
    </row>
    <row r="3" spans="1:29" x14ac:dyDescent="0.25">
      <c r="A3" s="79">
        <v>1</v>
      </c>
      <c r="B3" s="80" t="s">
        <v>71</v>
      </c>
      <c r="C3" s="80" t="s">
        <v>72</v>
      </c>
      <c r="D3" s="80" t="s">
        <v>73</v>
      </c>
      <c r="E3" s="80" t="s">
        <v>74</v>
      </c>
      <c r="F3" s="80" t="s">
        <v>75</v>
      </c>
      <c r="G3" s="80" t="s">
        <v>76</v>
      </c>
      <c r="H3" s="80" t="s">
        <v>77</v>
      </c>
      <c r="I3" s="80" t="s">
        <v>78</v>
      </c>
      <c r="J3" s="80" t="s">
        <v>79</v>
      </c>
      <c r="K3" s="80" t="s">
        <v>80</v>
      </c>
      <c r="L3" s="80" t="s">
        <v>81</v>
      </c>
      <c r="M3" s="80" t="s">
        <v>82</v>
      </c>
      <c r="N3" s="80" t="s">
        <v>84</v>
      </c>
      <c r="O3" s="80" t="s">
        <v>72</v>
      </c>
      <c r="P3" s="80" t="s">
        <v>73</v>
      </c>
      <c r="Q3" s="80" t="s">
        <v>74</v>
      </c>
      <c r="R3" s="80" t="s">
        <v>75</v>
      </c>
      <c r="S3" s="80" t="s">
        <v>76</v>
      </c>
      <c r="T3" s="80" t="s">
        <v>77</v>
      </c>
      <c r="U3" s="80" t="s">
        <v>78</v>
      </c>
      <c r="V3" s="80" t="s">
        <v>79</v>
      </c>
      <c r="W3" s="80" t="s">
        <v>80</v>
      </c>
      <c r="X3" s="80" t="s">
        <v>81</v>
      </c>
      <c r="Y3" s="80" t="s">
        <v>82</v>
      </c>
      <c r="Z3" s="80">
        <v>1</v>
      </c>
      <c r="AA3" s="77"/>
      <c r="AB3" s="79">
        <v>1</v>
      </c>
      <c r="AC3" s="80">
        <v>0.4</v>
      </c>
    </row>
    <row r="4" spans="1:29" x14ac:dyDescent="0.25">
      <c r="A4" s="79">
        <v>2</v>
      </c>
      <c r="B4" s="80" t="s">
        <v>72</v>
      </c>
      <c r="C4" s="80" t="s">
        <v>73</v>
      </c>
      <c r="D4" s="80" t="s">
        <v>74</v>
      </c>
      <c r="E4" s="80" t="s">
        <v>75</v>
      </c>
      <c r="F4" s="80" t="s">
        <v>76</v>
      </c>
      <c r="G4" s="80" t="s">
        <v>77</v>
      </c>
      <c r="H4" s="80" t="s">
        <v>78</v>
      </c>
      <c r="I4" s="80" t="s">
        <v>79</v>
      </c>
      <c r="J4" s="80" t="s">
        <v>80</v>
      </c>
      <c r="K4" s="80" t="s">
        <v>81</v>
      </c>
      <c r="L4" s="80" t="s">
        <v>82</v>
      </c>
      <c r="M4" s="80" t="s">
        <v>84</v>
      </c>
      <c r="N4" s="80" t="s">
        <v>72</v>
      </c>
      <c r="O4" s="80" t="s">
        <v>73</v>
      </c>
      <c r="P4" s="80" t="s">
        <v>74</v>
      </c>
      <c r="Q4" s="80" t="s">
        <v>75</v>
      </c>
      <c r="R4" s="80" t="s">
        <v>76</v>
      </c>
      <c r="S4" s="80" t="s">
        <v>77</v>
      </c>
      <c r="T4" s="80" t="s">
        <v>78</v>
      </c>
      <c r="U4" s="80" t="s">
        <v>79</v>
      </c>
      <c r="V4" s="80" t="s">
        <v>80</v>
      </c>
      <c r="W4" s="80" t="s">
        <v>81</v>
      </c>
      <c r="X4" s="80" t="s">
        <v>82</v>
      </c>
      <c r="Y4" s="80" t="s">
        <v>84</v>
      </c>
      <c r="Z4" s="80">
        <v>1</v>
      </c>
      <c r="AA4" s="77"/>
      <c r="AB4" s="79">
        <v>2</v>
      </c>
      <c r="AC4" s="80">
        <v>0.5</v>
      </c>
    </row>
    <row r="5" spans="1:29" x14ac:dyDescent="0.25">
      <c r="A5" s="79">
        <v>3</v>
      </c>
      <c r="B5" s="80" t="s">
        <v>73</v>
      </c>
      <c r="C5" s="80" t="s">
        <v>74</v>
      </c>
      <c r="D5" s="80" t="s">
        <v>75</v>
      </c>
      <c r="E5" s="80" t="s">
        <v>76</v>
      </c>
      <c r="F5" s="80" t="s">
        <v>77</v>
      </c>
      <c r="G5" s="80" t="s">
        <v>78</v>
      </c>
      <c r="H5" s="80" t="s">
        <v>79</v>
      </c>
      <c r="I5" s="80" t="s">
        <v>80</v>
      </c>
      <c r="J5" s="80" t="s">
        <v>81</v>
      </c>
      <c r="K5" s="80" t="s">
        <v>82</v>
      </c>
      <c r="L5" s="80" t="s">
        <v>84</v>
      </c>
      <c r="M5" s="80" t="s">
        <v>72</v>
      </c>
      <c r="N5" s="80" t="s">
        <v>73</v>
      </c>
      <c r="O5" s="80" t="s">
        <v>74</v>
      </c>
      <c r="P5" s="80" t="s">
        <v>75</v>
      </c>
      <c r="Q5" s="80" t="s">
        <v>76</v>
      </c>
      <c r="R5" s="80" t="s">
        <v>77</v>
      </c>
      <c r="S5" s="80" t="s">
        <v>78</v>
      </c>
      <c r="T5" s="80" t="s">
        <v>79</v>
      </c>
      <c r="U5" s="80" t="s">
        <v>80</v>
      </c>
      <c r="V5" s="80" t="s">
        <v>81</v>
      </c>
      <c r="W5" s="80" t="s">
        <v>82</v>
      </c>
      <c r="X5" s="80" t="s">
        <v>84</v>
      </c>
      <c r="Y5" s="80" t="s">
        <v>72</v>
      </c>
      <c r="Z5" s="80">
        <v>1</v>
      </c>
      <c r="AA5" s="77"/>
      <c r="AB5" s="79">
        <v>3</v>
      </c>
      <c r="AC5" s="80">
        <v>0.6</v>
      </c>
    </row>
    <row r="6" spans="1:29" x14ac:dyDescent="0.25">
      <c r="A6" s="79">
        <v>4</v>
      </c>
      <c r="B6" s="80" t="s">
        <v>74</v>
      </c>
      <c r="C6" s="80" t="s">
        <v>75</v>
      </c>
      <c r="D6" s="80" t="s">
        <v>76</v>
      </c>
      <c r="E6" s="80" t="s">
        <v>77</v>
      </c>
      <c r="F6" s="80" t="s">
        <v>78</v>
      </c>
      <c r="G6" s="80" t="s">
        <v>79</v>
      </c>
      <c r="H6" s="80" t="s">
        <v>80</v>
      </c>
      <c r="I6" s="80" t="s">
        <v>81</v>
      </c>
      <c r="J6" s="80" t="s">
        <v>82</v>
      </c>
      <c r="K6" s="80" t="s">
        <v>84</v>
      </c>
      <c r="L6" s="80" t="s">
        <v>72</v>
      </c>
      <c r="M6" s="80" t="s">
        <v>73</v>
      </c>
      <c r="N6" s="80" t="s">
        <v>74</v>
      </c>
      <c r="O6" s="80" t="s">
        <v>75</v>
      </c>
      <c r="P6" s="80" t="s">
        <v>76</v>
      </c>
      <c r="Q6" s="80" t="s">
        <v>77</v>
      </c>
      <c r="R6" s="80" t="s">
        <v>78</v>
      </c>
      <c r="S6" s="80" t="s">
        <v>79</v>
      </c>
      <c r="T6" s="80" t="s">
        <v>80</v>
      </c>
      <c r="U6" s="80" t="s">
        <v>81</v>
      </c>
      <c r="V6" s="80" t="s">
        <v>82</v>
      </c>
      <c r="W6" s="80" t="s">
        <v>84</v>
      </c>
      <c r="X6" s="80" t="s">
        <v>72</v>
      </c>
      <c r="Y6" s="80" t="s">
        <v>73</v>
      </c>
      <c r="Z6" s="80">
        <v>1</v>
      </c>
      <c r="AA6" s="77"/>
      <c r="AB6" s="79">
        <v>4</v>
      </c>
      <c r="AC6" s="80">
        <v>0.7</v>
      </c>
    </row>
    <row r="7" spans="1:29" x14ac:dyDescent="0.25">
      <c r="A7" s="79">
        <v>5</v>
      </c>
      <c r="B7" s="80" t="s">
        <v>75</v>
      </c>
      <c r="C7" s="80" t="s">
        <v>76</v>
      </c>
      <c r="D7" s="80" t="s">
        <v>77</v>
      </c>
      <c r="E7" s="80" t="s">
        <v>78</v>
      </c>
      <c r="F7" s="80" t="s">
        <v>79</v>
      </c>
      <c r="G7" s="80" t="s">
        <v>80</v>
      </c>
      <c r="H7" s="80" t="s">
        <v>81</v>
      </c>
      <c r="I7" s="80" t="s">
        <v>82</v>
      </c>
      <c r="J7" s="80" t="s">
        <v>84</v>
      </c>
      <c r="K7" s="80" t="s">
        <v>72</v>
      </c>
      <c r="L7" s="80" t="s">
        <v>73</v>
      </c>
      <c r="M7" s="80" t="s">
        <v>74</v>
      </c>
      <c r="N7" s="80" t="s">
        <v>75</v>
      </c>
      <c r="O7" s="80" t="s">
        <v>76</v>
      </c>
      <c r="P7" s="80" t="s">
        <v>77</v>
      </c>
      <c r="Q7" s="80" t="s">
        <v>78</v>
      </c>
      <c r="R7" s="80" t="s">
        <v>79</v>
      </c>
      <c r="S7" s="80" t="s">
        <v>80</v>
      </c>
      <c r="T7" s="80" t="s">
        <v>81</v>
      </c>
      <c r="U7" s="80" t="s">
        <v>82</v>
      </c>
      <c r="V7" s="80" t="s">
        <v>84</v>
      </c>
      <c r="W7" s="80" t="s">
        <v>72</v>
      </c>
      <c r="X7" s="80" t="s">
        <v>73</v>
      </c>
      <c r="Y7" s="80" t="s">
        <v>74</v>
      </c>
      <c r="Z7" s="80">
        <v>1</v>
      </c>
      <c r="AA7" s="77"/>
      <c r="AB7" s="79">
        <v>5</v>
      </c>
      <c r="AC7" s="80">
        <v>0.8</v>
      </c>
    </row>
    <row r="8" spans="1:29" x14ac:dyDescent="0.25">
      <c r="A8" s="79">
        <v>6</v>
      </c>
      <c r="B8" s="80" t="s">
        <v>76</v>
      </c>
      <c r="C8" s="80" t="s">
        <v>77</v>
      </c>
      <c r="D8" s="80" t="s">
        <v>78</v>
      </c>
      <c r="E8" s="80" t="s">
        <v>79</v>
      </c>
      <c r="F8" s="80" t="s">
        <v>80</v>
      </c>
      <c r="G8" s="80" t="s">
        <v>81</v>
      </c>
      <c r="H8" s="80" t="s">
        <v>82</v>
      </c>
      <c r="I8" s="80" t="s">
        <v>84</v>
      </c>
      <c r="J8" s="80" t="s">
        <v>72</v>
      </c>
      <c r="K8" s="80" t="s">
        <v>73</v>
      </c>
      <c r="L8" s="80" t="s">
        <v>74</v>
      </c>
      <c r="M8" s="80" t="s">
        <v>75</v>
      </c>
      <c r="N8" s="80" t="s">
        <v>76</v>
      </c>
      <c r="O8" s="80" t="s">
        <v>77</v>
      </c>
      <c r="P8" s="80" t="s">
        <v>78</v>
      </c>
      <c r="Q8" s="80" t="s">
        <v>79</v>
      </c>
      <c r="R8" s="80" t="s">
        <v>80</v>
      </c>
      <c r="S8" s="80" t="s">
        <v>81</v>
      </c>
      <c r="T8" s="80" t="s">
        <v>82</v>
      </c>
      <c r="U8" s="80" t="s">
        <v>84</v>
      </c>
      <c r="V8" s="80" t="s">
        <v>72</v>
      </c>
      <c r="W8" s="80" t="s">
        <v>73</v>
      </c>
      <c r="X8" s="80" t="s">
        <v>74</v>
      </c>
      <c r="Y8" s="80" t="s">
        <v>75</v>
      </c>
      <c r="Z8" s="80">
        <v>1</v>
      </c>
      <c r="AA8" s="77"/>
      <c r="AB8" s="79">
        <v>6</v>
      </c>
      <c r="AC8" s="80">
        <v>0.9</v>
      </c>
    </row>
    <row r="9" spans="1:29" x14ac:dyDescent="0.25">
      <c r="A9" s="79">
        <v>7</v>
      </c>
      <c r="B9" s="80" t="s">
        <v>77</v>
      </c>
      <c r="C9" s="80" t="s">
        <v>78</v>
      </c>
      <c r="D9" s="80" t="s">
        <v>79</v>
      </c>
      <c r="E9" s="80" t="s">
        <v>80</v>
      </c>
      <c r="F9" s="80" t="s">
        <v>81</v>
      </c>
      <c r="G9" s="80" t="s">
        <v>82</v>
      </c>
      <c r="H9" s="80" t="s">
        <v>84</v>
      </c>
      <c r="I9" s="80" t="s">
        <v>72</v>
      </c>
      <c r="J9" s="80" t="s">
        <v>73</v>
      </c>
      <c r="K9" s="80" t="s">
        <v>74</v>
      </c>
      <c r="L9" s="80" t="s">
        <v>75</v>
      </c>
      <c r="M9" s="80" t="s">
        <v>76</v>
      </c>
      <c r="N9" s="80" t="s">
        <v>77</v>
      </c>
      <c r="O9" s="80" t="s">
        <v>78</v>
      </c>
      <c r="P9" s="80" t="s">
        <v>79</v>
      </c>
      <c r="Q9" s="80" t="s">
        <v>80</v>
      </c>
      <c r="R9" s="80" t="s">
        <v>81</v>
      </c>
      <c r="S9" s="80" t="s">
        <v>82</v>
      </c>
      <c r="T9" s="80" t="s">
        <v>84</v>
      </c>
      <c r="U9" s="80" t="s">
        <v>72</v>
      </c>
      <c r="V9" s="80" t="s">
        <v>73</v>
      </c>
      <c r="W9" s="80" t="s">
        <v>74</v>
      </c>
      <c r="X9" s="80" t="s">
        <v>75</v>
      </c>
      <c r="Y9" s="80" t="s">
        <v>76</v>
      </c>
      <c r="Z9" s="80">
        <v>1</v>
      </c>
      <c r="AA9" s="77"/>
      <c r="AB9" s="79">
        <v>7</v>
      </c>
      <c r="AC9" s="80">
        <v>1</v>
      </c>
    </row>
    <row r="10" spans="1:29" x14ac:dyDescent="0.25">
      <c r="A10" s="79">
        <v>8</v>
      </c>
      <c r="B10" s="80" t="s">
        <v>78</v>
      </c>
      <c r="C10" s="80" t="s">
        <v>79</v>
      </c>
      <c r="D10" s="80" t="s">
        <v>80</v>
      </c>
      <c r="E10" s="80" t="s">
        <v>81</v>
      </c>
      <c r="F10" s="80" t="s">
        <v>82</v>
      </c>
      <c r="G10" s="80" t="s">
        <v>84</v>
      </c>
      <c r="H10" s="80" t="s">
        <v>72</v>
      </c>
      <c r="I10" s="80" t="s">
        <v>73</v>
      </c>
      <c r="J10" s="80" t="s">
        <v>74</v>
      </c>
      <c r="K10" s="80" t="s">
        <v>75</v>
      </c>
      <c r="L10" s="80" t="s">
        <v>76</v>
      </c>
      <c r="M10" s="80" t="s">
        <v>77</v>
      </c>
      <c r="N10" s="80" t="s">
        <v>78</v>
      </c>
      <c r="O10" s="80" t="s">
        <v>79</v>
      </c>
      <c r="P10" s="80" t="s">
        <v>80</v>
      </c>
      <c r="Q10" s="80" t="s">
        <v>81</v>
      </c>
      <c r="R10" s="80" t="s">
        <v>82</v>
      </c>
      <c r="S10" s="80" t="s">
        <v>84</v>
      </c>
      <c r="T10" s="80" t="s">
        <v>72</v>
      </c>
      <c r="U10" s="80" t="s">
        <v>73</v>
      </c>
      <c r="V10" s="80" t="s">
        <v>74</v>
      </c>
      <c r="W10" s="80" t="s">
        <v>75</v>
      </c>
      <c r="X10" s="80" t="s">
        <v>76</v>
      </c>
      <c r="Y10" s="80" t="s">
        <v>77</v>
      </c>
      <c r="Z10" s="80">
        <v>1</v>
      </c>
      <c r="AA10" s="77"/>
      <c r="AB10" s="79">
        <v>8</v>
      </c>
      <c r="AC10" s="80">
        <v>1</v>
      </c>
    </row>
    <row r="11" spans="1:29" x14ac:dyDescent="0.25">
      <c r="A11" s="79">
        <v>9</v>
      </c>
      <c r="B11" s="80" t="s">
        <v>79</v>
      </c>
      <c r="C11" s="80" t="s">
        <v>80</v>
      </c>
      <c r="D11" s="80" t="s">
        <v>81</v>
      </c>
      <c r="E11" s="80" t="s">
        <v>82</v>
      </c>
      <c r="F11" s="80" t="s">
        <v>84</v>
      </c>
      <c r="G11" s="80" t="s">
        <v>72</v>
      </c>
      <c r="H11" s="80" t="s">
        <v>73</v>
      </c>
      <c r="I11" s="80" t="s">
        <v>74</v>
      </c>
      <c r="J11" s="80" t="s">
        <v>75</v>
      </c>
      <c r="K11" s="80" t="s">
        <v>76</v>
      </c>
      <c r="L11" s="80" t="s">
        <v>77</v>
      </c>
      <c r="M11" s="80" t="s">
        <v>78</v>
      </c>
      <c r="N11" s="80" t="s">
        <v>79</v>
      </c>
      <c r="O11" s="80" t="s">
        <v>80</v>
      </c>
      <c r="P11" s="80" t="s">
        <v>81</v>
      </c>
      <c r="Q11" s="80" t="s">
        <v>82</v>
      </c>
      <c r="R11" s="80" t="s">
        <v>84</v>
      </c>
      <c r="S11" s="80" t="s">
        <v>72</v>
      </c>
      <c r="T11" s="80" t="s">
        <v>73</v>
      </c>
      <c r="U11" s="80" t="s">
        <v>74</v>
      </c>
      <c r="V11" s="80" t="s">
        <v>75</v>
      </c>
      <c r="W11" s="80" t="s">
        <v>76</v>
      </c>
      <c r="X11" s="80" t="s">
        <v>77</v>
      </c>
      <c r="Y11" s="80" t="s">
        <v>78</v>
      </c>
      <c r="Z11" s="80">
        <v>1</v>
      </c>
      <c r="AA11" s="77"/>
      <c r="AB11" s="79">
        <v>9</v>
      </c>
      <c r="AC11" s="80">
        <v>1</v>
      </c>
    </row>
    <row r="12" spans="1:29" x14ac:dyDescent="0.25">
      <c r="A12" s="79">
        <v>10</v>
      </c>
      <c r="B12" s="80" t="s">
        <v>80</v>
      </c>
      <c r="C12" s="80" t="s">
        <v>81</v>
      </c>
      <c r="D12" s="80" t="s">
        <v>82</v>
      </c>
      <c r="E12" s="80" t="s">
        <v>84</v>
      </c>
      <c r="F12" s="80" t="s">
        <v>72</v>
      </c>
      <c r="G12" s="80" t="s">
        <v>73</v>
      </c>
      <c r="H12" s="80" t="s">
        <v>74</v>
      </c>
      <c r="I12" s="80" t="s">
        <v>75</v>
      </c>
      <c r="J12" s="80" t="s">
        <v>76</v>
      </c>
      <c r="K12" s="80" t="s">
        <v>77</v>
      </c>
      <c r="L12" s="80" t="s">
        <v>78</v>
      </c>
      <c r="M12" s="80" t="s">
        <v>79</v>
      </c>
      <c r="N12" s="80" t="s">
        <v>80</v>
      </c>
      <c r="O12" s="80" t="s">
        <v>81</v>
      </c>
      <c r="P12" s="80" t="s">
        <v>82</v>
      </c>
      <c r="Q12" s="80" t="s">
        <v>84</v>
      </c>
      <c r="R12" s="80" t="s">
        <v>72</v>
      </c>
      <c r="S12" s="80" t="s">
        <v>73</v>
      </c>
      <c r="T12" s="80" t="s">
        <v>74</v>
      </c>
      <c r="U12" s="80" t="s">
        <v>75</v>
      </c>
      <c r="V12" s="80" t="s">
        <v>76</v>
      </c>
      <c r="W12" s="80" t="s">
        <v>77</v>
      </c>
      <c r="X12" s="80" t="s">
        <v>78</v>
      </c>
      <c r="Y12" s="80" t="s">
        <v>79</v>
      </c>
      <c r="Z12" s="80">
        <v>1</v>
      </c>
      <c r="AA12" s="77"/>
      <c r="AB12" s="79">
        <v>10</v>
      </c>
      <c r="AC12" s="80">
        <v>1</v>
      </c>
    </row>
    <row r="13" spans="1:29" x14ac:dyDescent="0.25">
      <c r="A13" s="79">
        <v>11</v>
      </c>
      <c r="B13" s="80" t="s">
        <v>81</v>
      </c>
      <c r="C13" s="80" t="s">
        <v>82</v>
      </c>
      <c r="D13" s="80" t="s">
        <v>84</v>
      </c>
      <c r="E13" s="80" t="s">
        <v>72</v>
      </c>
      <c r="F13" s="80" t="s">
        <v>73</v>
      </c>
      <c r="G13" s="80" t="s">
        <v>74</v>
      </c>
      <c r="H13" s="80" t="s">
        <v>75</v>
      </c>
      <c r="I13" s="80" t="s">
        <v>76</v>
      </c>
      <c r="J13" s="80" t="s">
        <v>77</v>
      </c>
      <c r="K13" s="80" t="s">
        <v>78</v>
      </c>
      <c r="L13" s="80" t="s">
        <v>79</v>
      </c>
      <c r="M13" s="80" t="s">
        <v>80</v>
      </c>
      <c r="N13" s="80" t="s">
        <v>81</v>
      </c>
      <c r="O13" s="80" t="s">
        <v>82</v>
      </c>
      <c r="P13" s="80" t="s">
        <v>84</v>
      </c>
      <c r="Q13" s="80" t="s">
        <v>72</v>
      </c>
      <c r="R13" s="80" t="s">
        <v>73</v>
      </c>
      <c r="S13" s="80" t="s">
        <v>74</v>
      </c>
      <c r="T13" s="80" t="s">
        <v>75</v>
      </c>
      <c r="U13" s="80" t="s">
        <v>76</v>
      </c>
      <c r="V13" s="80" t="s">
        <v>77</v>
      </c>
      <c r="W13" s="80" t="s">
        <v>78</v>
      </c>
      <c r="X13" s="80" t="s">
        <v>79</v>
      </c>
      <c r="Y13" s="80" t="s">
        <v>80</v>
      </c>
      <c r="Z13" s="80">
        <v>1</v>
      </c>
      <c r="AA13" s="77"/>
      <c r="AB13" s="79">
        <v>11</v>
      </c>
      <c r="AC13" s="80">
        <v>1</v>
      </c>
    </row>
    <row r="14" spans="1:29" x14ac:dyDescent="0.25">
      <c r="A14" s="79">
        <v>12</v>
      </c>
      <c r="B14" s="80" t="s">
        <v>82</v>
      </c>
      <c r="C14" s="80" t="s">
        <v>84</v>
      </c>
      <c r="D14" s="80" t="s">
        <v>72</v>
      </c>
      <c r="E14" s="80" t="s">
        <v>73</v>
      </c>
      <c r="F14" s="80" t="s">
        <v>74</v>
      </c>
      <c r="G14" s="80" t="s">
        <v>75</v>
      </c>
      <c r="H14" s="80" t="s">
        <v>76</v>
      </c>
      <c r="I14" s="80" t="s">
        <v>77</v>
      </c>
      <c r="J14" s="80" t="s">
        <v>78</v>
      </c>
      <c r="K14" s="80" t="s">
        <v>79</v>
      </c>
      <c r="L14" s="80" t="s">
        <v>80</v>
      </c>
      <c r="M14" s="80" t="s">
        <v>81</v>
      </c>
      <c r="N14" s="80" t="s">
        <v>82</v>
      </c>
      <c r="O14" s="80" t="s">
        <v>84</v>
      </c>
      <c r="P14" s="80" t="s">
        <v>72</v>
      </c>
      <c r="Q14" s="80" t="s">
        <v>73</v>
      </c>
      <c r="R14" s="80" t="s">
        <v>74</v>
      </c>
      <c r="S14" s="80" t="s">
        <v>75</v>
      </c>
      <c r="T14" s="80" t="s">
        <v>76</v>
      </c>
      <c r="U14" s="80" t="s">
        <v>77</v>
      </c>
      <c r="V14" s="80" t="s">
        <v>78</v>
      </c>
      <c r="W14" s="80" t="s">
        <v>79</v>
      </c>
      <c r="X14" s="80" t="s">
        <v>80</v>
      </c>
      <c r="Y14" s="80" t="s">
        <v>81</v>
      </c>
      <c r="Z14" s="80">
        <v>1</v>
      </c>
      <c r="AA14" s="77"/>
      <c r="AB14" s="79">
        <v>12</v>
      </c>
      <c r="AC14" s="80">
        <v>1</v>
      </c>
    </row>
    <row r="15" spans="1:29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x14ac:dyDescent="0.25">
      <c r="A17" s="79">
        <v>1</v>
      </c>
      <c r="B17" s="80">
        <v>1</v>
      </c>
      <c r="C17" s="80">
        <v>1</v>
      </c>
      <c r="D17" s="80">
        <v>1</v>
      </c>
      <c r="E17" s="80">
        <v>1</v>
      </c>
      <c r="F17" s="80">
        <v>1</v>
      </c>
      <c r="G17" s="80">
        <v>1</v>
      </c>
      <c r="H17" s="80">
        <v>1</v>
      </c>
      <c r="I17" s="80">
        <v>1</v>
      </c>
      <c r="J17" s="80">
        <v>1</v>
      </c>
      <c r="K17" s="80">
        <v>1</v>
      </c>
      <c r="L17" s="80">
        <v>1</v>
      </c>
      <c r="M17" s="80">
        <v>1</v>
      </c>
      <c r="N17" s="80">
        <v>1</v>
      </c>
      <c r="O17" s="80">
        <v>1</v>
      </c>
      <c r="P17" s="80">
        <v>1</v>
      </c>
      <c r="Q17" s="80">
        <v>1</v>
      </c>
      <c r="R17" s="80">
        <v>1</v>
      </c>
      <c r="S17" s="80">
        <v>1</v>
      </c>
      <c r="T17" s="80">
        <v>1</v>
      </c>
      <c r="U17" s="80">
        <v>1</v>
      </c>
      <c r="V17" s="80">
        <v>1</v>
      </c>
      <c r="W17" s="80">
        <v>1</v>
      </c>
      <c r="X17" s="80">
        <v>1</v>
      </c>
      <c r="Y17" s="80">
        <v>1</v>
      </c>
      <c r="Z17" s="77"/>
      <c r="AA17" s="77"/>
      <c r="AB17" s="77"/>
      <c r="AC17" s="77"/>
    </row>
    <row r="18" spans="1:29" x14ac:dyDescent="0.25">
      <c r="A18" s="79">
        <v>2</v>
      </c>
      <c r="B18" s="80">
        <f>C17</f>
        <v>1</v>
      </c>
      <c r="C18" s="80">
        <f t="shared" ref="C18:X18" si="0">D17</f>
        <v>1</v>
      </c>
      <c r="D18" s="80">
        <f t="shared" si="0"/>
        <v>1</v>
      </c>
      <c r="E18" s="80">
        <f t="shared" si="0"/>
        <v>1</v>
      </c>
      <c r="F18" s="80">
        <f t="shared" si="0"/>
        <v>1</v>
      </c>
      <c r="G18" s="80">
        <f t="shared" si="0"/>
        <v>1</v>
      </c>
      <c r="H18" s="80">
        <f t="shared" si="0"/>
        <v>1</v>
      </c>
      <c r="I18" s="80">
        <f t="shared" si="0"/>
        <v>1</v>
      </c>
      <c r="J18" s="80">
        <f t="shared" si="0"/>
        <v>1</v>
      </c>
      <c r="K18" s="80">
        <f t="shared" si="0"/>
        <v>1</v>
      </c>
      <c r="L18" s="80">
        <f t="shared" si="0"/>
        <v>1</v>
      </c>
      <c r="M18" s="80">
        <f t="shared" si="0"/>
        <v>1</v>
      </c>
      <c r="N18" s="80">
        <f t="shared" si="0"/>
        <v>1</v>
      </c>
      <c r="O18" s="80">
        <f t="shared" si="0"/>
        <v>1</v>
      </c>
      <c r="P18" s="80">
        <f t="shared" si="0"/>
        <v>1</v>
      </c>
      <c r="Q18" s="80">
        <f t="shared" si="0"/>
        <v>1</v>
      </c>
      <c r="R18" s="80">
        <f t="shared" si="0"/>
        <v>1</v>
      </c>
      <c r="S18" s="80">
        <f t="shared" si="0"/>
        <v>1</v>
      </c>
      <c r="T18" s="80">
        <f t="shared" si="0"/>
        <v>1</v>
      </c>
      <c r="U18" s="80">
        <f t="shared" si="0"/>
        <v>1</v>
      </c>
      <c r="V18" s="80">
        <f t="shared" si="0"/>
        <v>1</v>
      </c>
      <c r="W18" s="80">
        <f t="shared" si="0"/>
        <v>1</v>
      </c>
      <c r="X18" s="80">
        <f t="shared" si="0"/>
        <v>1</v>
      </c>
      <c r="Y18" s="80">
        <v>1</v>
      </c>
      <c r="Z18" s="77"/>
      <c r="AA18" s="77"/>
      <c r="AB18" s="77"/>
      <c r="AC18" s="77"/>
    </row>
    <row r="19" spans="1:29" x14ac:dyDescent="0.25">
      <c r="A19" s="79">
        <v>3</v>
      </c>
      <c r="B19" s="80">
        <f>D17</f>
        <v>1</v>
      </c>
      <c r="C19" s="80">
        <f t="shared" ref="C19:W19" si="1">E17</f>
        <v>1</v>
      </c>
      <c r="D19" s="80">
        <f t="shared" si="1"/>
        <v>1</v>
      </c>
      <c r="E19" s="80">
        <f t="shared" si="1"/>
        <v>1</v>
      </c>
      <c r="F19" s="80">
        <f t="shared" si="1"/>
        <v>1</v>
      </c>
      <c r="G19" s="80">
        <f t="shared" si="1"/>
        <v>1</v>
      </c>
      <c r="H19" s="80">
        <f t="shared" si="1"/>
        <v>1</v>
      </c>
      <c r="I19" s="80">
        <f t="shared" si="1"/>
        <v>1</v>
      </c>
      <c r="J19" s="80">
        <f t="shared" si="1"/>
        <v>1</v>
      </c>
      <c r="K19" s="80">
        <f t="shared" si="1"/>
        <v>1</v>
      </c>
      <c r="L19" s="80">
        <f t="shared" si="1"/>
        <v>1</v>
      </c>
      <c r="M19" s="80">
        <f t="shared" si="1"/>
        <v>1</v>
      </c>
      <c r="N19" s="80">
        <f t="shared" si="1"/>
        <v>1</v>
      </c>
      <c r="O19" s="80">
        <f t="shared" si="1"/>
        <v>1</v>
      </c>
      <c r="P19" s="80">
        <f t="shared" si="1"/>
        <v>1</v>
      </c>
      <c r="Q19" s="80">
        <f t="shared" si="1"/>
        <v>1</v>
      </c>
      <c r="R19" s="80">
        <f t="shared" si="1"/>
        <v>1</v>
      </c>
      <c r="S19" s="80">
        <f t="shared" si="1"/>
        <v>1</v>
      </c>
      <c r="T19" s="80">
        <f t="shared" si="1"/>
        <v>1</v>
      </c>
      <c r="U19" s="80">
        <f t="shared" si="1"/>
        <v>1</v>
      </c>
      <c r="V19" s="80">
        <f t="shared" si="1"/>
        <v>1</v>
      </c>
      <c r="W19" s="80">
        <f t="shared" si="1"/>
        <v>1</v>
      </c>
      <c r="X19" s="80">
        <f>B17</f>
        <v>1</v>
      </c>
      <c r="Y19" s="80">
        <f>C17</f>
        <v>1</v>
      </c>
      <c r="Z19" s="77"/>
      <c r="AA19" s="77"/>
      <c r="AB19" s="77"/>
      <c r="AC19" s="77"/>
    </row>
    <row r="20" spans="1:29" x14ac:dyDescent="0.25">
      <c r="A20" s="79">
        <v>4</v>
      </c>
      <c r="B20" s="80">
        <f>E17</f>
        <v>1</v>
      </c>
      <c r="C20" s="80">
        <f t="shared" ref="C20:V20" si="2">F17</f>
        <v>1</v>
      </c>
      <c r="D20" s="80">
        <f t="shared" si="2"/>
        <v>1</v>
      </c>
      <c r="E20" s="80">
        <f t="shared" si="2"/>
        <v>1</v>
      </c>
      <c r="F20" s="80">
        <f t="shared" si="2"/>
        <v>1</v>
      </c>
      <c r="G20" s="80">
        <f t="shared" si="2"/>
        <v>1</v>
      </c>
      <c r="H20" s="80">
        <f t="shared" si="2"/>
        <v>1</v>
      </c>
      <c r="I20" s="80">
        <f t="shared" si="2"/>
        <v>1</v>
      </c>
      <c r="J20" s="80">
        <f t="shared" si="2"/>
        <v>1</v>
      </c>
      <c r="K20" s="80">
        <f t="shared" si="2"/>
        <v>1</v>
      </c>
      <c r="L20" s="80">
        <f t="shared" si="2"/>
        <v>1</v>
      </c>
      <c r="M20" s="80">
        <f t="shared" si="2"/>
        <v>1</v>
      </c>
      <c r="N20" s="80">
        <f t="shared" si="2"/>
        <v>1</v>
      </c>
      <c r="O20" s="80">
        <f t="shared" si="2"/>
        <v>1</v>
      </c>
      <c r="P20" s="80">
        <f t="shared" si="2"/>
        <v>1</v>
      </c>
      <c r="Q20" s="80">
        <f t="shared" si="2"/>
        <v>1</v>
      </c>
      <c r="R20" s="80">
        <f t="shared" si="2"/>
        <v>1</v>
      </c>
      <c r="S20" s="80">
        <f t="shared" si="2"/>
        <v>1</v>
      </c>
      <c r="T20" s="80">
        <f t="shared" si="2"/>
        <v>1</v>
      </c>
      <c r="U20" s="80">
        <f t="shared" si="2"/>
        <v>1</v>
      </c>
      <c r="V20" s="80">
        <f t="shared" si="2"/>
        <v>1</v>
      </c>
      <c r="W20" s="80">
        <f>B17</f>
        <v>1</v>
      </c>
      <c r="X20" s="80">
        <f>C17</f>
        <v>1</v>
      </c>
      <c r="Y20" s="80">
        <f>D17</f>
        <v>1</v>
      </c>
      <c r="Z20" s="77"/>
      <c r="AA20" s="77"/>
      <c r="AB20" s="77"/>
      <c r="AC20" s="77"/>
    </row>
    <row r="21" spans="1:29" x14ac:dyDescent="0.25">
      <c r="A21" s="79">
        <v>5</v>
      </c>
      <c r="B21" s="80">
        <f>F17</f>
        <v>1</v>
      </c>
      <c r="C21" s="80">
        <f t="shared" ref="C21:U21" si="3">G17</f>
        <v>1</v>
      </c>
      <c r="D21" s="80">
        <f t="shared" si="3"/>
        <v>1</v>
      </c>
      <c r="E21" s="80">
        <f t="shared" si="3"/>
        <v>1</v>
      </c>
      <c r="F21" s="80">
        <f t="shared" si="3"/>
        <v>1</v>
      </c>
      <c r="G21" s="80">
        <f t="shared" si="3"/>
        <v>1</v>
      </c>
      <c r="H21" s="80">
        <f t="shared" si="3"/>
        <v>1</v>
      </c>
      <c r="I21" s="80">
        <f t="shared" si="3"/>
        <v>1</v>
      </c>
      <c r="J21" s="80">
        <f t="shared" si="3"/>
        <v>1</v>
      </c>
      <c r="K21" s="80">
        <f t="shared" si="3"/>
        <v>1</v>
      </c>
      <c r="L21" s="80">
        <f t="shared" si="3"/>
        <v>1</v>
      </c>
      <c r="M21" s="80">
        <f t="shared" si="3"/>
        <v>1</v>
      </c>
      <c r="N21" s="80">
        <f t="shared" si="3"/>
        <v>1</v>
      </c>
      <c r="O21" s="80">
        <f t="shared" si="3"/>
        <v>1</v>
      </c>
      <c r="P21" s="80">
        <f t="shared" si="3"/>
        <v>1</v>
      </c>
      <c r="Q21" s="80">
        <f t="shared" si="3"/>
        <v>1</v>
      </c>
      <c r="R21" s="80">
        <f t="shared" si="3"/>
        <v>1</v>
      </c>
      <c r="S21" s="80">
        <f t="shared" si="3"/>
        <v>1</v>
      </c>
      <c r="T21" s="80">
        <f t="shared" si="3"/>
        <v>1</v>
      </c>
      <c r="U21" s="80">
        <f t="shared" si="3"/>
        <v>1</v>
      </c>
      <c r="V21" s="80">
        <f>B17</f>
        <v>1</v>
      </c>
      <c r="W21" s="80">
        <f>C17</f>
        <v>1</v>
      </c>
      <c r="X21" s="80">
        <f>D17</f>
        <v>1</v>
      </c>
      <c r="Y21" s="80">
        <f>E17</f>
        <v>1</v>
      </c>
      <c r="Z21" s="77"/>
      <c r="AA21" s="77"/>
      <c r="AB21" s="77"/>
      <c r="AC21" s="77"/>
    </row>
    <row r="22" spans="1:29" x14ac:dyDescent="0.25">
      <c r="A22" s="79">
        <v>6</v>
      </c>
      <c r="B22" s="80">
        <f>G17</f>
        <v>1</v>
      </c>
      <c r="C22" s="80">
        <f t="shared" ref="C22:T22" si="4">H17</f>
        <v>1</v>
      </c>
      <c r="D22" s="80">
        <f t="shared" si="4"/>
        <v>1</v>
      </c>
      <c r="E22" s="80">
        <f t="shared" si="4"/>
        <v>1</v>
      </c>
      <c r="F22" s="80">
        <f t="shared" si="4"/>
        <v>1</v>
      </c>
      <c r="G22" s="80">
        <f t="shared" si="4"/>
        <v>1</v>
      </c>
      <c r="H22" s="80">
        <f t="shared" si="4"/>
        <v>1</v>
      </c>
      <c r="I22" s="80">
        <f t="shared" si="4"/>
        <v>1</v>
      </c>
      <c r="J22" s="80">
        <f t="shared" si="4"/>
        <v>1</v>
      </c>
      <c r="K22" s="80">
        <f t="shared" si="4"/>
        <v>1</v>
      </c>
      <c r="L22" s="80">
        <f t="shared" si="4"/>
        <v>1</v>
      </c>
      <c r="M22" s="80">
        <f t="shared" si="4"/>
        <v>1</v>
      </c>
      <c r="N22" s="80">
        <f t="shared" si="4"/>
        <v>1</v>
      </c>
      <c r="O22" s="80">
        <f t="shared" si="4"/>
        <v>1</v>
      </c>
      <c r="P22" s="80">
        <f t="shared" si="4"/>
        <v>1</v>
      </c>
      <c r="Q22" s="80">
        <f t="shared" si="4"/>
        <v>1</v>
      </c>
      <c r="R22" s="80">
        <f t="shared" si="4"/>
        <v>1</v>
      </c>
      <c r="S22" s="80">
        <f t="shared" si="4"/>
        <v>1</v>
      </c>
      <c r="T22" s="80">
        <f t="shared" si="4"/>
        <v>1</v>
      </c>
      <c r="U22" s="80">
        <f>B17</f>
        <v>1</v>
      </c>
      <c r="V22" s="80">
        <f>C17</f>
        <v>1</v>
      </c>
      <c r="W22" s="80">
        <f>D17</f>
        <v>1</v>
      </c>
      <c r="X22" s="80">
        <f>E17</f>
        <v>1</v>
      </c>
      <c r="Y22" s="80">
        <f>F17</f>
        <v>1</v>
      </c>
      <c r="Z22" s="77"/>
      <c r="AA22" s="77"/>
      <c r="AB22" s="77"/>
      <c r="AC22" s="77"/>
    </row>
    <row r="23" spans="1:29" x14ac:dyDescent="0.25">
      <c r="A23" s="79">
        <v>7</v>
      </c>
      <c r="B23" s="80">
        <f>H17</f>
        <v>1</v>
      </c>
      <c r="C23" s="80">
        <f t="shared" ref="C23:S23" si="5">I17</f>
        <v>1</v>
      </c>
      <c r="D23" s="80">
        <f t="shared" si="5"/>
        <v>1</v>
      </c>
      <c r="E23" s="80">
        <f t="shared" si="5"/>
        <v>1</v>
      </c>
      <c r="F23" s="80">
        <f t="shared" si="5"/>
        <v>1</v>
      </c>
      <c r="G23" s="80">
        <f t="shared" si="5"/>
        <v>1</v>
      </c>
      <c r="H23" s="80">
        <f t="shared" si="5"/>
        <v>1</v>
      </c>
      <c r="I23" s="80">
        <f t="shared" si="5"/>
        <v>1</v>
      </c>
      <c r="J23" s="80">
        <f t="shared" si="5"/>
        <v>1</v>
      </c>
      <c r="K23" s="80">
        <f t="shared" si="5"/>
        <v>1</v>
      </c>
      <c r="L23" s="80">
        <f t="shared" si="5"/>
        <v>1</v>
      </c>
      <c r="M23" s="80">
        <f t="shared" si="5"/>
        <v>1</v>
      </c>
      <c r="N23" s="80">
        <f t="shared" si="5"/>
        <v>1</v>
      </c>
      <c r="O23" s="80">
        <f t="shared" si="5"/>
        <v>1</v>
      </c>
      <c r="P23" s="80">
        <f t="shared" si="5"/>
        <v>1</v>
      </c>
      <c r="Q23" s="80">
        <f t="shared" si="5"/>
        <v>1</v>
      </c>
      <c r="R23" s="80">
        <f t="shared" si="5"/>
        <v>1</v>
      </c>
      <c r="S23" s="80">
        <f t="shared" si="5"/>
        <v>1</v>
      </c>
      <c r="T23" s="80">
        <f t="shared" ref="T23:Y23" si="6">B17</f>
        <v>1</v>
      </c>
      <c r="U23" s="80">
        <f t="shared" si="6"/>
        <v>1</v>
      </c>
      <c r="V23" s="80">
        <f t="shared" si="6"/>
        <v>1</v>
      </c>
      <c r="W23" s="80">
        <f t="shared" si="6"/>
        <v>1</v>
      </c>
      <c r="X23" s="80">
        <f t="shared" si="6"/>
        <v>1</v>
      </c>
      <c r="Y23" s="80">
        <f t="shared" si="6"/>
        <v>1</v>
      </c>
      <c r="Z23" s="77"/>
      <c r="AA23" s="77"/>
      <c r="AB23" s="77"/>
      <c r="AC23" s="77"/>
    </row>
    <row r="24" spans="1:29" x14ac:dyDescent="0.25">
      <c r="A24" s="79">
        <v>8</v>
      </c>
      <c r="B24" s="80">
        <f>I17</f>
        <v>1</v>
      </c>
      <c r="C24" s="80">
        <f t="shared" ref="C24:R24" si="7">J17</f>
        <v>1</v>
      </c>
      <c r="D24" s="80">
        <f t="shared" si="7"/>
        <v>1</v>
      </c>
      <c r="E24" s="80">
        <f t="shared" si="7"/>
        <v>1</v>
      </c>
      <c r="F24" s="80">
        <f t="shared" si="7"/>
        <v>1</v>
      </c>
      <c r="G24" s="80">
        <f t="shared" si="7"/>
        <v>1</v>
      </c>
      <c r="H24" s="80">
        <f t="shared" si="7"/>
        <v>1</v>
      </c>
      <c r="I24" s="80">
        <f t="shared" si="7"/>
        <v>1</v>
      </c>
      <c r="J24" s="80">
        <f t="shared" si="7"/>
        <v>1</v>
      </c>
      <c r="K24" s="80">
        <f t="shared" si="7"/>
        <v>1</v>
      </c>
      <c r="L24" s="80">
        <f t="shared" si="7"/>
        <v>1</v>
      </c>
      <c r="M24" s="80">
        <f t="shared" si="7"/>
        <v>1</v>
      </c>
      <c r="N24" s="80">
        <f t="shared" si="7"/>
        <v>1</v>
      </c>
      <c r="O24" s="80">
        <f t="shared" si="7"/>
        <v>1</v>
      </c>
      <c r="P24" s="80">
        <f t="shared" si="7"/>
        <v>1</v>
      </c>
      <c r="Q24" s="80">
        <f t="shared" si="7"/>
        <v>1</v>
      </c>
      <c r="R24" s="80">
        <f t="shared" si="7"/>
        <v>1</v>
      </c>
      <c r="S24" s="80">
        <f>B17</f>
        <v>1</v>
      </c>
      <c r="T24" s="80">
        <f t="shared" ref="T24:Y24" si="8">C17</f>
        <v>1</v>
      </c>
      <c r="U24" s="80">
        <f t="shared" si="8"/>
        <v>1</v>
      </c>
      <c r="V24" s="80">
        <f t="shared" si="8"/>
        <v>1</v>
      </c>
      <c r="W24" s="80">
        <f t="shared" si="8"/>
        <v>1</v>
      </c>
      <c r="X24" s="80">
        <f t="shared" si="8"/>
        <v>1</v>
      </c>
      <c r="Y24" s="80">
        <f t="shared" si="8"/>
        <v>1</v>
      </c>
      <c r="Z24" s="77"/>
      <c r="AA24" s="77"/>
      <c r="AB24" s="77"/>
      <c r="AC24" s="77"/>
    </row>
    <row r="25" spans="1:29" x14ac:dyDescent="0.25">
      <c r="A25" s="79">
        <v>9</v>
      </c>
      <c r="B25" s="80">
        <f>J17</f>
        <v>1</v>
      </c>
      <c r="C25" s="80">
        <f t="shared" ref="C25:Q25" si="9">K17</f>
        <v>1</v>
      </c>
      <c r="D25" s="80">
        <f t="shared" si="9"/>
        <v>1</v>
      </c>
      <c r="E25" s="80">
        <f t="shared" si="9"/>
        <v>1</v>
      </c>
      <c r="F25" s="80">
        <f t="shared" si="9"/>
        <v>1</v>
      </c>
      <c r="G25" s="80">
        <f t="shared" si="9"/>
        <v>1</v>
      </c>
      <c r="H25" s="80">
        <f t="shared" si="9"/>
        <v>1</v>
      </c>
      <c r="I25" s="80">
        <f t="shared" si="9"/>
        <v>1</v>
      </c>
      <c r="J25" s="80">
        <f t="shared" si="9"/>
        <v>1</v>
      </c>
      <c r="K25" s="80">
        <f t="shared" si="9"/>
        <v>1</v>
      </c>
      <c r="L25" s="80">
        <f t="shared" si="9"/>
        <v>1</v>
      </c>
      <c r="M25" s="80">
        <f t="shared" si="9"/>
        <v>1</v>
      </c>
      <c r="N25" s="80">
        <f t="shared" si="9"/>
        <v>1</v>
      </c>
      <c r="O25" s="80">
        <f t="shared" si="9"/>
        <v>1</v>
      </c>
      <c r="P25" s="80">
        <f t="shared" si="9"/>
        <v>1</v>
      </c>
      <c r="Q25" s="80">
        <f t="shared" si="9"/>
        <v>1</v>
      </c>
      <c r="R25" s="80">
        <f>B17</f>
        <v>1</v>
      </c>
      <c r="S25" s="80">
        <f t="shared" ref="S25:Y25" si="10">C17</f>
        <v>1</v>
      </c>
      <c r="T25" s="80">
        <f t="shared" si="10"/>
        <v>1</v>
      </c>
      <c r="U25" s="80">
        <f t="shared" si="10"/>
        <v>1</v>
      </c>
      <c r="V25" s="80">
        <f t="shared" si="10"/>
        <v>1</v>
      </c>
      <c r="W25" s="80">
        <f t="shared" si="10"/>
        <v>1</v>
      </c>
      <c r="X25" s="80">
        <f t="shared" si="10"/>
        <v>1</v>
      </c>
      <c r="Y25" s="80">
        <f t="shared" si="10"/>
        <v>1</v>
      </c>
      <c r="Z25" s="77"/>
      <c r="AA25" s="77"/>
      <c r="AB25" s="77"/>
      <c r="AC25" s="77"/>
    </row>
    <row r="26" spans="1:29" x14ac:dyDescent="0.25">
      <c r="A26" s="79">
        <v>10</v>
      </c>
      <c r="B26" s="80">
        <f>K17</f>
        <v>1</v>
      </c>
      <c r="C26" s="80">
        <f t="shared" ref="C26:P26" si="11">L17</f>
        <v>1</v>
      </c>
      <c r="D26" s="80">
        <f t="shared" si="11"/>
        <v>1</v>
      </c>
      <c r="E26" s="80">
        <f t="shared" si="11"/>
        <v>1</v>
      </c>
      <c r="F26" s="80">
        <f t="shared" si="11"/>
        <v>1</v>
      </c>
      <c r="G26" s="80">
        <f t="shared" si="11"/>
        <v>1</v>
      </c>
      <c r="H26" s="80">
        <f t="shared" si="11"/>
        <v>1</v>
      </c>
      <c r="I26" s="80">
        <f t="shared" si="11"/>
        <v>1</v>
      </c>
      <c r="J26" s="80">
        <f t="shared" si="11"/>
        <v>1</v>
      </c>
      <c r="K26" s="80">
        <f t="shared" si="11"/>
        <v>1</v>
      </c>
      <c r="L26" s="80">
        <f t="shared" si="11"/>
        <v>1</v>
      </c>
      <c r="M26" s="80">
        <f t="shared" si="11"/>
        <v>1</v>
      </c>
      <c r="N26" s="80">
        <f t="shared" si="11"/>
        <v>1</v>
      </c>
      <c r="O26" s="80">
        <f t="shared" si="11"/>
        <v>1</v>
      </c>
      <c r="P26" s="80">
        <f t="shared" si="11"/>
        <v>1</v>
      </c>
      <c r="Q26" s="80">
        <f>B17</f>
        <v>1</v>
      </c>
      <c r="R26" s="80">
        <f t="shared" ref="R26:Y26" si="12">C17</f>
        <v>1</v>
      </c>
      <c r="S26" s="80">
        <f t="shared" si="12"/>
        <v>1</v>
      </c>
      <c r="T26" s="80">
        <f t="shared" si="12"/>
        <v>1</v>
      </c>
      <c r="U26" s="80">
        <f t="shared" si="12"/>
        <v>1</v>
      </c>
      <c r="V26" s="80">
        <f t="shared" si="12"/>
        <v>1</v>
      </c>
      <c r="W26" s="80">
        <f t="shared" si="12"/>
        <v>1</v>
      </c>
      <c r="X26" s="80">
        <f t="shared" si="12"/>
        <v>1</v>
      </c>
      <c r="Y26" s="80">
        <f t="shared" si="12"/>
        <v>1</v>
      </c>
      <c r="Z26" s="77"/>
      <c r="AA26" s="77"/>
      <c r="AB26" s="77"/>
      <c r="AC26" s="77"/>
    </row>
    <row r="27" spans="1:29" x14ac:dyDescent="0.25">
      <c r="A27" s="79">
        <v>11</v>
      </c>
      <c r="B27" s="80">
        <f>L17</f>
        <v>1</v>
      </c>
      <c r="C27" s="80">
        <f t="shared" ref="C27:O27" si="13">M17</f>
        <v>1</v>
      </c>
      <c r="D27" s="80">
        <f t="shared" si="13"/>
        <v>1</v>
      </c>
      <c r="E27" s="80">
        <f t="shared" si="13"/>
        <v>1</v>
      </c>
      <c r="F27" s="80">
        <f t="shared" si="13"/>
        <v>1</v>
      </c>
      <c r="G27" s="80">
        <f t="shared" si="13"/>
        <v>1</v>
      </c>
      <c r="H27" s="80">
        <f t="shared" si="13"/>
        <v>1</v>
      </c>
      <c r="I27" s="80">
        <f t="shared" si="13"/>
        <v>1</v>
      </c>
      <c r="J27" s="80">
        <f t="shared" si="13"/>
        <v>1</v>
      </c>
      <c r="K27" s="80">
        <f t="shared" si="13"/>
        <v>1</v>
      </c>
      <c r="L27" s="80">
        <f t="shared" si="13"/>
        <v>1</v>
      </c>
      <c r="M27" s="80">
        <f t="shared" si="13"/>
        <v>1</v>
      </c>
      <c r="N27" s="80">
        <f t="shared" si="13"/>
        <v>1</v>
      </c>
      <c r="O27" s="80">
        <f t="shared" si="13"/>
        <v>1</v>
      </c>
      <c r="P27" s="80">
        <f>B17</f>
        <v>1</v>
      </c>
      <c r="Q27" s="80">
        <f t="shared" ref="Q27:Y27" si="14">C17</f>
        <v>1</v>
      </c>
      <c r="R27" s="80">
        <f t="shared" si="14"/>
        <v>1</v>
      </c>
      <c r="S27" s="80">
        <f t="shared" si="14"/>
        <v>1</v>
      </c>
      <c r="T27" s="80">
        <f t="shared" si="14"/>
        <v>1</v>
      </c>
      <c r="U27" s="80">
        <f t="shared" si="14"/>
        <v>1</v>
      </c>
      <c r="V27" s="80">
        <f t="shared" si="14"/>
        <v>1</v>
      </c>
      <c r="W27" s="80">
        <f t="shared" si="14"/>
        <v>1</v>
      </c>
      <c r="X27" s="80">
        <f t="shared" si="14"/>
        <v>1</v>
      </c>
      <c r="Y27" s="80">
        <f t="shared" si="14"/>
        <v>1</v>
      </c>
      <c r="Z27" s="77"/>
      <c r="AA27" s="77"/>
      <c r="AB27" s="77"/>
      <c r="AC27" s="77"/>
    </row>
    <row r="28" spans="1:29" x14ac:dyDescent="0.25">
      <c r="A28" s="79">
        <v>12</v>
      </c>
      <c r="B28" s="80">
        <f>M17</f>
        <v>1</v>
      </c>
      <c r="C28" s="80">
        <f t="shared" ref="C28:N28" si="15">N17</f>
        <v>1</v>
      </c>
      <c r="D28" s="80">
        <f t="shared" si="15"/>
        <v>1</v>
      </c>
      <c r="E28" s="80">
        <f t="shared" si="15"/>
        <v>1</v>
      </c>
      <c r="F28" s="80">
        <f t="shared" si="15"/>
        <v>1</v>
      </c>
      <c r="G28" s="80">
        <f t="shared" si="15"/>
        <v>1</v>
      </c>
      <c r="H28" s="80">
        <f t="shared" si="15"/>
        <v>1</v>
      </c>
      <c r="I28" s="80">
        <f t="shared" si="15"/>
        <v>1</v>
      </c>
      <c r="J28" s="80">
        <f t="shared" si="15"/>
        <v>1</v>
      </c>
      <c r="K28" s="80">
        <f t="shared" si="15"/>
        <v>1</v>
      </c>
      <c r="L28" s="80">
        <f t="shared" si="15"/>
        <v>1</v>
      </c>
      <c r="M28" s="80">
        <f t="shared" si="15"/>
        <v>1</v>
      </c>
      <c r="N28" s="80">
        <f t="shared" si="15"/>
        <v>1</v>
      </c>
      <c r="O28" s="80">
        <f>B17</f>
        <v>1</v>
      </c>
      <c r="P28" s="80">
        <f t="shared" ref="P28:Y28" si="16">C17</f>
        <v>1</v>
      </c>
      <c r="Q28" s="80">
        <f t="shared" si="16"/>
        <v>1</v>
      </c>
      <c r="R28" s="80">
        <f t="shared" si="16"/>
        <v>1</v>
      </c>
      <c r="S28" s="80">
        <f t="shared" si="16"/>
        <v>1</v>
      </c>
      <c r="T28" s="80">
        <f t="shared" si="16"/>
        <v>1</v>
      </c>
      <c r="U28" s="80">
        <f t="shared" si="16"/>
        <v>1</v>
      </c>
      <c r="V28" s="80">
        <f t="shared" si="16"/>
        <v>1</v>
      </c>
      <c r="W28" s="80">
        <f t="shared" si="16"/>
        <v>1</v>
      </c>
      <c r="X28" s="80">
        <f t="shared" si="16"/>
        <v>1</v>
      </c>
      <c r="Y28" s="80">
        <f t="shared" si="16"/>
        <v>1</v>
      </c>
      <c r="Z28" s="77"/>
      <c r="AA28" s="77"/>
      <c r="AB28" s="77"/>
      <c r="AC28" s="77"/>
    </row>
    <row r="29" spans="1:29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x14ac:dyDescent="0.25">
      <c r="A30" s="77"/>
      <c r="B30" s="80">
        <v>0.4</v>
      </c>
      <c r="C30" s="80">
        <v>0.6</v>
      </c>
      <c r="D30" s="80">
        <v>0.8</v>
      </c>
      <c r="E30" s="80">
        <v>0.9</v>
      </c>
      <c r="F30" s="80">
        <v>1</v>
      </c>
      <c r="G30" s="80">
        <v>1</v>
      </c>
      <c r="H30" s="80">
        <v>1</v>
      </c>
      <c r="I30" s="80">
        <v>1</v>
      </c>
      <c r="J30" s="80">
        <v>1</v>
      </c>
      <c r="K30" s="80">
        <v>1</v>
      </c>
      <c r="L30" s="80">
        <v>1</v>
      </c>
      <c r="M30" s="80">
        <v>1</v>
      </c>
      <c r="N30" s="80">
        <v>1</v>
      </c>
      <c r="O30" s="80">
        <v>1</v>
      </c>
      <c r="P30" s="80">
        <v>1</v>
      </c>
      <c r="Q30" s="80">
        <v>1</v>
      </c>
      <c r="R30" s="80">
        <v>1</v>
      </c>
      <c r="S30" s="80">
        <v>1</v>
      </c>
      <c r="T30" s="80">
        <v>1</v>
      </c>
      <c r="U30" s="80">
        <v>1</v>
      </c>
      <c r="V30" s="80">
        <v>1</v>
      </c>
      <c r="W30" s="80">
        <v>1</v>
      </c>
      <c r="X30" s="80">
        <v>1</v>
      </c>
      <c r="Y30" s="80">
        <v>1</v>
      </c>
      <c r="Z30" s="77"/>
      <c r="AA30" s="77"/>
      <c r="AB30" s="77"/>
      <c r="AC30" s="77"/>
    </row>
    <row r="31" spans="1:29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</row>
    <row r="32" spans="1:29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29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ht="18.75" x14ac:dyDescent="0.3">
      <c r="A34" s="81" t="s">
        <v>85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x14ac:dyDescent="0.25">
      <c r="A35" s="77" t="s">
        <v>86</v>
      </c>
      <c r="B35" s="77"/>
      <c r="C35" s="77"/>
      <c r="D35" s="77">
        <v>3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x14ac:dyDescent="0.25">
      <c r="A36" s="77" t="s">
        <v>87</v>
      </c>
      <c r="B36" s="77"/>
      <c r="C36" s="77"/>
      <c r="D36" s="82">
        <f>100%/D35</f>
        <v>0.33333333333333331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29" x14ac:dyDescent="0.25">
      <c r="A37" s="77" t="s">
        <v>88</v>
      </c>
      <c r="B37" s="77"/>
      <c r="C37" s="77"/>
      <c r="D37" s="77">
        <f>SUMIF(Оборудование!D3:D15,"&gt;40000",Оборудование!E3:E15)*К!D36/100%</f>
        <v>12533333.333333332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x14ac:dyDescent="0.25">
      <c r="A38" s="77" t="s">
        <v>89</v>
      </c>
      <c r="B38" s="77"/>
      <c r="C38" s="77"/>
      <c r="D38" s="77"/>
      <c r="E38" s="77"/>
      <c r="F38" s="77">
        <f>D37/12</f>
        <v>1044444.4444444444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29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1:29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</row>
    <row r="46" spans="1:29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</row>
    <row r="48" spans="1:29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</row>
  </sheetData>
  <mergeCells count="2">
    <mergeCell ref="AB1:AC2"/>
    <mergeCell ref="A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Y11"/>
  <sheetViews>
    <sheetView showGridLines="0" workbookViewId="0">
      <selection activeCell="F23" sqref="F23"/>
    </sheetView>
  </sheetViews>
  <sheetFormatPr defaultRowHeight="18.75" x14ac:dyDescent="0.3"/>
  <cols>
    <col min="1" max="1" width="71.7109375" style="47" customWidth="1"/>
    <col min="2" max="2" width="13.7109375" style="62" bestFit="1" customWidth="1"/>
    <col min="3" max="3" width="13.5703125" style="62" bestFit="1" customWidth="1"/>
    <col min="4" max="4" width="17" style="62" customWidth="1"/>
    <col min="5" max="5" width="19" style="62" customWidth="1"/>
    <col min="6" max="6" width="18.42578125" style="62" customWidth="1"/>
    <col min="7" max="7" width="16.7109375" style="62" customWidth="1"/>
    <col min="8" max="8" width="18.42578125" style="62" customWidth="1"/>
    <col min="9" max="9" width="18.28515625" style="62" customWidth="1"/>
    <col min="10" max="10" width="18" style="62" customWidth="1"/>
    <col min="11" max="11" width="17.28515625" style="62" customWidth="1"/>
    <col min="12" max="12" width="17.5703125" style="62" customWidth="1"/>
    <col min="13" max="13" width="19" style="62" customWidth="1"/>
    <col min="14" max="15" width="16.42578125" style="62" customWidth="1"/>
    <col min="16" max="16" width="17.5703125" style="62" customWidth="1"/>
    <col min="17" max="17" width="18" style="62" customWidth="1"/>
    <col min="18" max="18" width="18.5703125" style="62" customWidth="1"/>
    <col min="19" max="19" width="19.28515625" style="62" customWidth="1"/>
    <col min="20" max="20" width="16.42578125" style="62" customWidth="1"/>
    <col min="21" max="21" width="17.42578125" style="62" customWidth="1"/>
    <col min="22" max="22" width="17.28515625" style="62" customWidth="1"/>
    <col min="23" max="23" width="17.5703125" style="62" customWidth="1"/>
    <col min="24" max="24" width="19" style="62" customWidth="1"/>
    <col min="25" max="25" width="17.42578125" style="62" customWidth="1"/>
    <col min="26" max="16384" width="9.140625" style="61"/>
  </cols>
  <sheetData>
    <row r="1" spans="1:25" x14ac:dyDescent="0.25">
      <c r="A1" s="109" t="s">
        <v>96</v>
      </c>
      <c r="B1" s="109" t="s">
        <v>63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x14ac:dyDescent="0.3">
      <c r="A2" s="109"/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3" t="s">
        <v>11</v>
      </c>
      <c r="L2" s="33" t="s">
        <v>12</v>
      </c>
      <c r="M2" s="33" t="s">
        <v>13</v>
      </c>
      <c r="N2" s="33" t="s">
        <v>32</v>
      </c>
      <c r="O2" s="33" t="s">
        <v>33</v>
      </c>
      <c r="P2" s="33" t="s">
        <v>34</v>
      </c>
      <c r="Q2" s="33" t="s">
        <v>35</v>
      </c>
      <c r="R2" s="33" t="s">
        <v>36</v>
      </c>
      <c r="S2" s="33" t="s">
        <v>37</v>
      </c>
      <c r="T2" s="33" t="s">
        <v>38</v>
      </c>
      <c r="U2" s="33" t="s">
        <v>39</v>
      </c>
      <c r="V2" s="33" t="s">
        <v>40</v>
      </c>
      <c r="W2" s="33" t="s">
        <v>41</v>
      </c>
      <c r="X2" s="33" t="s">
        <v>42</v>
      </c>
      <c r="Y2" s="33" t="s">
        <v>43</v>
      </c>
    </row>
    <row r="3" spans="1:25" x14ac:dyDescent="0.25">
      <c r="A3" s="34" t="s">
        <v>176</v>
      </c>
      <c r="B3" s="35">
        <f>Инвестиции!$C$13</f>
        <v>300000</v>
      </c>
      <c r="C3" s="35">
        <f>Инвестиции!$C$13</f>
        <v>300000</v>
      </c>
      <c r="D3" s="35">
        <f>Инвестиции!$C$13</f>
        <v>300000</v>
      </c>
      <c r="E3" s="35">
        <f>Инвестиции!$C$13</f>
        <v>300000</v>
      </c>
      <c r="F3" s="35">
        <f>Инвестиции!$C$13</f>
        <v>300000</v>
      </c>
      <c r="G3" s="35">
        <f>Инвестиции!$C$13</f>
        <v>300000</v>
      </c>
      <c r="H3" s="35">
        <f>Инвестиции!$C$13</f>
        <v>300000</v>
      </c>
      <c r="I3" s="35">
        <f>Инвестиции!$C$13</f>
        <v>300000</v>
      </c>
      <c r="J3" s="35">
        <f>Инвестиции!$C$13</f>
        <v>300000</v>
      </c>
      <c r="K3" s="35">
        <f>Инвестиции!$C$13</f>
        <v>300000</v>
      </c>
      <c r="L3" s="35">
        <f>Инвестиции!$C$13</f>
        <v>300000</v>
      </c>
      <c r="M3" s="35">
        <f>Инвестиции!$C$13</f>
        <v>300000</v>
      </c>
      <c r="N3" s="35">
        <f>Инвестиции!$C$13</f>
        <v>300000</v>
      </c>
      <c r="O3" s="35">
        <f>Инвестиции!$C$13</f>
        <v>300000</v>
      </c>
      <c r="P3" s="35">
        <f>Инвестиции!$C$13</f>
        <v>300000</v>
      </c>
      <c r="Q3" s="35">
        <f>Инвестиции!$C$13</f>
        <v>300000</v>
      </c>
      <c r="R3" s="35">
        <f>Инвестиции!$C$13</f>
        <v>300000</v>
      </c>
      <c r="S3" s="35">
        <f>Инвестиции!$C$13</f>
        <v>300000</v>
      </c>
      <c r="T3" s="35">
        <f>Инвестиции!$C$13</f>
        <v>300000</v>
      </c>
      <c r="U3" s="35">
        <f>Инвестиции!$C$13</f>
        <v>300000</v>
      </c>
      <c r="V3" s="35">
        <f>Инвестиции!$C$13</f>
        <v>300000</v>
      </c>
      <c r="W3" s="35">
        <f>Инвестиции!$C$13</f>
        <v>300000</v>
      </c>
      <c r="X3" s="35">
        <f>Инвестиции!$C$13</f>
        <v>300000</v>
      </c>
      <c r="Y3" s="35">
        <f>Инвестиции!$C$13</f>
        <v>300000</v>
      </c>
    </row>
    <row r="4" spans="1:25" x14ac:dyDescent="0.25">
      <c r="A4" s="34" t="s">
        <v>107</v>
      </c>
      <c r="B4" s="35">
        <f>'Титульный лист'!$I$37</f>
        <v>300000</v>
      </c>
      <c r="C4" s="35">
        <f>'Титульный лист'!$I$37</f>
        <v>300000</v>
      </c>
      <c r="D4" s="35">
        <f>'Титульный лист'!$I$37</f>
        <v>300000</v>
      </c>
      <c r="E4" s="35">
        <f>'Титульный лист'!$I$37</f>
        <v>300000</v>
      </c>
      <c r="F4" s="35">
        <f>'Титульный лист'!$I$37</f>
        <v>300000</v>
      </c>
      <c r="G4" s="35">
        <f>'Титульный лист'!$I$37</f>
        <v>300000</v>
      </c>
      <c r="H4" s="35">
        <f>'Титульный лист'!$I$37</f>
        <v>300000</v>
      </c>
      <c r="I4" s="35">
        <f>'Титульный лист'!$I$37</f>
        <v>300000</v>
      </c>
      <c r="J4" s="35">
        <f>'Титульный лист'!$I$37</f>
        <v>300000</v>
      </c>
      <c r="K4" s="35">
        <f>'Титульный лист'!$I$37</f>
        <v>300000</v>
      </c>
      <c r="L4" s="35">
        <f>'Титульный лист'!$I$37</f>
        <v>300000</v>
      </c>
      <c r="M4" s="35">
        <f>'Титульный лист'!$I$37</f>
        <v>300000</v>
      </c>
      <c r="N4" s="35">
        <f>'Титульный лист'!$I$37</f>
        <v>300000</v>
      </c>
      <c r="O4" s="35">
        <f>'Титульный лист'!$I$37</f>
        <v>300000</v>
      </c>
      <c r="P4" s="35">
        <f>'Титульный лист'!$I$37</f>
        <v>300000</v>
      </c>
      <c r="Q4" s="35">
        <f>'Титульный лист'!$I$37</f>
        <v>300000</v>
      </c>
      <c r="R4" s="35">
        <f>'Титульный лист'!$I$37</f>
        <v>300000</v>
      </c>
      <c r="S4" s="35">
        <f>'Титульный лист'!$I$37</f>
        <v>300000</v>
      </c>
      <c r="T4" s="35">
        <f>'Титульный лист'!$I$37</f>
        <v>300000</v>
      </c>
      <c r="U4" s="35">
        <f>'Титульный лист'!$I$37</f>
        <v>300000</v>
      </c>
      <c r="V4" s="35">
        <f>'Титульный лист'!$I$37</f>
        <v>300000</v>
      </c>
      <c r="W4" s="35">
        <f>'Титульный лист'!$I$37</f>
        <v>300000</v>
      </c>
      <c r="X4" s="35">
        <f>'Титульный лист'!$I$37</f>
        <v>300000</v>
      </c>
      <c r="Y4" s="35">
        <f>'Титульный лист'!$I$37</f>
        <v>300000</v>
      </c>
    </row>
    <row r="5" spans="1:25" x14ac:dyDescent="0.25">
      <c r="A5" s="34" t="s">
        <v>106</v>
      </c>
      <c r="B5" s="35">
        <f>К!$F$38</f>
        <v>1044444.4444444444</v>
      </c>
      <c r="C5" s="35">
        <f>К!$F$38</f>
        <v>1044444.4444444444</v>
      </c>
      <c r="D5" s="35">
        <f>К!$F$38</f>
        <v>1044444.4444444444</v>
      </c>
      <c r="E5" s="35">
        <f>К!$F$38</f>
        <v>1044444.4444444444</v>
      </c>
      <c r="F5" s="35">
        <f>К!$F$38</f>
        <v>1044444.4444444444</v>
      </c>
      <c r="G5" s="35">
        <f>К!$F$38</f>
        <v>1044444.4444444444</v>
      </c>
      <c r="H5" s="35">
        <f>К!$F$38</f>
        <v>1044444.4444444444</v>
      </c>
      <c r="I5" s="35">
        <f>К!$F$38</f>
        <v>1044444.4444444444</v>
      </c>
      <c r="J5" s="35">
        <f>К!$F$38</f>
        <v>1044444.4444444444</v>
      </c>
      <c r="K5" s="35">
        <f>К!$F$38</f>
        <v>1044444.4444444444</v>
      </c>
      <c r="L5" s="35">
        <f>К!$F$38</f>
        <v>1044444.4444444444</v>
      </c>
      <c r="M5" s="35">
        <f>К!$F$38</f>
        <v>1044444.4444444444</v>
      </c>
      <c r="N5" s="35">
        <f>К!$F$38</f>
        <v>1044444.4444444444</v>
      </c>
      <c r="O5" s="35">
        <f>К!$F$38</f>
        <v>1044444.4444444444</v>
      </c>
      <c r="P5" s="35">
        <f>К!$F$38</f>
        <v>1044444.4444444444</v>
      </c>
      <c r="Q5" s="35">
        <f>К!$F$38</f>
        <v>1044444.4444444444</v>
      </c>
      <c r="R5" s="35">
        <f>К!$F$38</f>
        <v>1044444.4444444444</v>
      </c>
      <c r="S5" s="35">
        <f>К!$F$38</f>
        <v>1044444.4444444444</v>
      </c>
      <c r="T5" s="35">
        <f>К!$F$38</f>
        <v>1044444.4444444444</v>
      </c>
      <c r="U5" s="35">
        <f>К!$F$38</f>
        <v>1044444.4444444444</v>
      </c>
      <c r="V5" s="35">
        <f>К!$F$38</f>
        <v>1044444.4444444444</v>
      </c>
      <c r="W5" s="35">
        <f>К!$F$38</f>
        <v>1044444.4444444444</v>
      </c>
      <c r="X5" s="35">
        <f>К!$F$38</f>
        <v>1044444.4444444444</v>
      </c>
      <c r="Y5" s="35">
        <f>К!$F$38</f>
        <v>1044444.4444444444</v>
      </c>
    </row>
    <row r="6" spans="1:25" x14ac:dyDescent="0.25">
      <c r="A6" s="34" t="s">
        <v>116</v>
      </c>
      <c r="B6" s="35">
        <f>Продажи!C4*'Титульный лист'!$I$14+'Титульный лист'!$I$16*Продажи!C6+Продажи!C8*'Титульный лист'!$I$18+'Титульный лист'!$I$20*Продажи!C10</f>
        <v>52624000</v>
      </c>
      <c r="C6" s="35">
        <f>Продажи!D4*'Титульный лист'!$I$14+'Титульный лист'!$I$16*Продажи!D6+Продажи!D8*'Титульный лист'!$I$18+'Титульный лист'!$I$20*Продажи!D10</f>
        <v>78936000</v>
      </c>
      <c r="D6" s="35">
        <f>Продажи!E4*'Титульный лист'!$I$14+'Титульный лист'!$I$16*Продажи!E6+Продажи!E8*'Титульный лист'!$I$18+'Титульный лист'!$I$20*Продажи!E10</f>
        <v>105248000</v>
      </c>
      <c r="E6" s="35">
        <f>Продажи!F4*'Титульный лист'!$I$14+'Титульный лист'!$I$16*Продажи!F6+Продажи!F8*'Титульный лист'!$I$18+'Титульный лист'!$I$20*Продажи!F10</f>
        <v>118404000</v>
      </c>
      <c r="F6" s="35">
        <f>Продажи!G4*'Титульный лист'!$I$14+'Титульный лист'!$I$16*Продажи!G6+Продажи!G8*'Титульный лист'!$I$18+'Титульный лист'!$I$20*Продажи!G10</f>
        <v>131560000</v>
      </c>
      <c r="G6" s="35">
        <f>Продажи!H4*'Титульный лист'!$I$14+'Титульный лист'!$I$16*Продажи!H6+Продажи!H8*'Титульный лист'!$I$18+'Титульный лист'!$I$20*Продажи!H10</f>
        <v>131560000</v>
      </c>
      <c r="H6" s="35">
        <f>Продажи!I4*'Титульный лист'!$I$14+'Титульный лист'!$I$16*Продажи!I6+Продажи!I8*'Титульный лист'!$I$18+'Титульный лист'!$I$20*Продажи!I10</f>
        <v>131560000</v>
      </c>
      <c r="I6" s="35">
        <f>Продажи!J4*'Титульный лист'!$I$14+'Титульный лист'!$I$16*Продажи!J6+Продажи!J8*'Титульный лист'!$I$18+'Титульный лист'!$I$20*Продажи!J10</f>
        <v>131560000</v>
      </c>
      <c r="J6" s="35">
        <f>Продажи!K4*'Титульный лист'!$I$14+'Титульный лист'!$I$16*Продажи!K6+Продажи!K8*'Титульный лист'!$I$18+'Титульный лист'!$I$20*Продажи!K10</f>
        <v>131560000</v>
      </c>
      <c r="K6" s="35">
        <f>Продажи!L4*'Титульный лист'!$I$14+'Титульный лист'!$I$16*Продажи!L6+Продажи!L8*'Титульный лист'!$I$18+'Титульный лист'!$I$20*Продажи!L10</f>
        <v>131560000</v>
      </c>
      <c r="L6" s="35">
        <f>Продажи!M4*'Титульный лист'!$I$14+'Титульный лист'!$I$16*Продажи!M6+Продажи!M8*'Титульный лист'!$I$18+'Титульный лист'!$I$20*Продажи!M10</f>
        <v>131560000</v>
      </c>
      <c r="M6" s="35">
        <f>Продажи!N4*'Титульный лист'!$I$14+'Титульный лист'!$I$16*Продажи!N6+Продажи!N8*'Титульный лист'!$I$18+'Титульный лист'!$I$20*Продажи!N10</f>
        <v>131560000</v>
      </c>
      <c r="N6" s="35">
        <f>Продажи!O4*'Титульный лист'!$I$14+'Титульный лист'!$I$16*Продажи!O6+Продажи!O8*'Титульный лист'!$I$18+'Титульный лист'!$I$20*Продажи!O10</f>
        <v>131560000</v>
      </c>
      <c r="O6" s="35">
        <f>Продажи!P4*'Титульный лист'!$I$14+'Титульный лист'!$I$16*Продажи!P6+Продажи!P8*'Титульный лист'!$I$18+'Титульный лист'!$I$20*Продажи!P10</f>
        <v>131560000</v>
      </c>
      <c r="P6" s="35">
        <f>Продажи!Q4*'Титульный лист'!$I$14+'Титульный лист'!$I$16*Продажи!Q6+Продажи!Q8*'Титульный лист'!$I$18+'Титульный лист'!$I$20*Продажи!Q10</f>
        <v>131560000</v>
      </c>
      <c r="Q6" s="35">
        <f>Продажи!R4*'Титульный лист'!$I$14+'Титульный лист'!$I$16*Продажи!R6+Продажи!R8*'Титульный лист'!$I$18+'Титульный лист'!$I$20*Продажи!R10</f>
        <v>131560000</v>
      </c>
      <c r="R6" s="35">
        <f>Продажи!S4*'Титульный лист'!$I$14+'Титульный лист'!$I$16*Продажи!S6+Продажи!S8*'Титульный лист'!$I$18+'Титульный лист'!$I$20*Продажи!S10</f>
        <v>131560000</v>
      </c>
      <c r="S6" s="35">
        <f>Продажи!T4*'Титульный лист'!$I$14+'Титульный лист'!$I$16*Продажи!T6+Продажи!T8*'Титульный лист'!$I$18+'Титульный лист'!$I$20*Продажи!T10</f>
        <v>131560000</v>
      </c>
      <c r="T6" s="35">
        <f>Продажи!U4*'Титульный лист'!$I$14+'Титульный лист'!$I$16*Продажи!U6+Продажи!U8*'Титульный лист'!$I$18+'Титульный лист'!$I$20*Продажи!U10</f>
        <v>131560000</v>
      </c>
      <c r="U6" s="35">
        <f>Продажи!V4*'Титульный лист'!$I$14+'Титульный лист'!$I$16*Продажи!V6+Продажи!V8*'Титульный лист'!$I$18+'Титульный лист'!$I$20*Продажи!V10</f>
        <v>131560000</v>
      </c>
      <c r="V6" s="35">
        <f>Продажи!W4*'Титульный лист'!$I$14+'Титульный лист'!$I$16*Продажи!W6+Продажи!W8*'Титульный лист'!$I$18+'Титульный лист'!$I$20*Продажи!W10</f>
        <v>131560000</v>
      </c>
      <c r="W6" s="35">
        <f>Продажи!X4*'Титульный лист'!$I$14+'Титульный лист'!$I$16*Продажи!X6+Продажи!X8*'Титульный лист'!$I$18+'Титульный лист'!$I$20*Продажи!X10</f>
        <v>131560000</v>
      </c>
      <c r="X6" s="35">
        <f>Продажи!Y4*'Титульный лист'!$I$14+'Титульный лист'!$I$16*Продажи!Y6+Продажи!Y8*'Титульный лист'!$I$18+'Титульный лист'!$I$20*Продажи!Y10</f>
        <v>131560000</v>
      </c>
      <c r="Y6" s="35">
        <f>Продажи!Z4*'Титульный лист'!$I$14+'Титульный лист'!$I$16*Продажи!Z6+Продажи!Z8*'Титульный лист'!$I$18+'Титульный лист'!$I$20*Продажи!Z10</f>
        <v>131560000</v>
      </c>
    </row>
    <row r="7" spans="1:25" x14ac:dyDescent="0.25">
      <c r="A7" s="34" t="s">
        <v>95</v>
      </c>
      <c r="B7" s="35">
        <f>'Титульный лист'!$I$36</f>
        <v>0</v>
      </c>
      <c r="C7" s="35">
        <f>'Титульный лист'!$I$36</f>
        <v>0</v>
      </c>
      <c r="D7" s="35">
        <f>'Титульный лист'!$I$36</f>
        <v>0</v>
      </c>
      <c r="E7" s="35">
        <f>'Титульный лист'!$I$36</f>
        <v>0</v>
      </c>
      <c r="F7" s="35">
        <f>'Титульный лист'!$I$36</f>
        <v>0</v>
      </c>
      <c r="G7" s="35">
        <f>'Титульный лист'!$I$36</f>
        <v>0</v>
      </c>
      <c r="H7" s="35">
        <f>'Титульный лист'!$I$36</f>
        <v>0</v>
      </c>
      <c r="I7" s="35">
        <f>'Титульный лист'!$I$36</f>
        <v>0</v>
      </c>
      <c r="J7" s="35">
        <f>'Титульный лист'!$I$36</f>
        <v>0</v>
      </c>
      <c r="K7" s="35">
        <f>'Титульный лист'!$I$36</f>
        <v>0</v>
      </c>
      <c r="L7" s="35">
        <f>'Титульный лист'!$I$36</f>
        <v>0</v>
      </c>
      <c r="M7" s="35">
        <f>'Титульный лист'!$I$36</f>
        <v>0</v>
      </c>
      <c r="N7" s="35">
        <f>'Титульный лист'!$I$36</f>
        <v>0</v>
      </c>
      <c r="O7" s="35">
        <f>'Титульный лист'!$I$36</f>
        <v>0</v>
      </c>
      <c r="P7" s="35">
        <f>'Титульный лист'!$I$36</f>
        <v>0</v>
      </c>
      <c r="Q7" s="35">
        <f>'Титульный лист'!$I$36</f>
        <v>0</v>
      </c>
      <c r="R7" s="35">
        <f>'Титульный лист'!$I$36</f>
        <v>0</v>
      </c>
      <c r="S7" s="35">
        <f>'Титульный лист'!$I$36</f>
        <v>0</v>
      </c>
      <c r="T7" s="35">
        <f>'Титульный лист'!$I$36</f>
        <v>0</v>
      </c>
      <c r="U7" s="35">
        <f>'Титульный лист'!$I$36</f>
        <v>0</v>
      </c>
      <c r="V7" s="35">
        <f>'Титульный лист'!$I$36</f>
        <v>0</v>
      </c>
      <c r="W7" s="35">
        <f>'Титульный лист'!$I$36</f>
        <v>0</v>
      </c>
      <c r="X7" s="35">
        <f>'Титульный лист'!$I$36</f>
        <v>0</v>
      </c>
      <c r="Y7" s="35">
        <f>'Титульный лист'!$I$36</f>
        <v>0</v>
      </c>
    </row>
    <row r="8" spans="1:25" ht="21.75" customHeight="1" x14ac:dyDescent="0.25">
      <c r="A8" s="34" t="s">
        <v>137</v>
      </c>
      <c r="B8" s="35">
        <f>'Титульный лист'!$I$39</f>
        <v>300000</v>
      </c>
      <c r="C8" s="35">
        <f>'Титульный лист'!$I$39</f>
        <v>300000</v>
      </c>
      <c r="D8" s="35">
        <f>'Титульный лист'!$I$39</f>
        <v>300000</v>
      </c>
      <c r="E8" s="35">
        <f>'Титульный лист'!$I$39</f>
        <v>300000</v>
      </c>
      <c r="F8" s="35">
        <f>'Титульный лист'!$I$39</f>
        <v>300000</v>
      </c>
      <c r="G8" s="35">
        <f>'Титульный лист'!$I$39</f>
        <v>300000</v>
      </c>
      <c r="H8" s="35">
        <f>'Титульный лист'!$I$39</f>
        <v>300000</v>
      </c>
      <c r="I8" s="35">
        <f>'Титульный лист'!$I$39</f>
        <v>300000</v>
      </c>
      <c r="J8" s="35">
        <f>'Титульный лист'!$I$39</f>
        <v>300000</v>
      </c>
      <c r="K8" s="35">
        <f>'Титульный лист'!$I$39</f>
        <v>300000</v>
      </c>
      <c r="L8" s="35">
        <f>'Титульный лист'!$I$39</f>
        <v>300000</v>
      </c>
      <c r="M8" s="35">
        <f>'Титульный лист'!$I$39</f>
        <v>300000</v>
      </c>
      <c r="N8" s="35">
        <f>'Титульный лист'!$I$39</f>
        <v>300000</v>
      </c>
      <c r="O8" s="35">
        <f>'Титульный лист'!$I$39</f>
        <v>300000</v>
      </c>
      <c r="P8" s="35">
        <f>'Титульный лист'!$I$39</f>
        <v>300000</v>
      </c>
      <c r="Q8" s="35">
        <f>'Титульный лист'!$I$39</f>
        <v>300000</v>
      </c>
      <c r="R8" s="35">
        <f>'Титульный лист'!$I$39</f>
        <v>300000</v>
      </c>
      <c r="S8" s="35">
        <f>'Титульный лист'!$I$39</f>
        <v>300000</v>
      </c>
      <c r="T8" s="35">
        <f>'Титульный лист'!$I$39</f>
        <v>300000</v>
      </c>
      <c r="U8" s="35">
        <f>'Титульный лист'!$I$39</f>
        <v>300000</v>
      </c>
      <c r="V8" s="35">
        <f>'Титульный лист'!$I$39</f>
        <v>300000</v>
      </c>
      <c r="W8" s="35">
        <f>'Титульный лист'!$I$39</f>
        <v>300000</v>
      </c>
      <c r="X8" s="35">
        <f>'Титульный лист'!$I$39</f>
        <v>300000</v>
      </c>
      <c r="Y8" s="35">
        <f>'Титульный лист'!$I$39</f>
        <v>300000</v>
      </c>
    </row>
    <row r="9" spans="1:25" x14ac:dyDescent="0.25">
      <c r="A9" s="34" t="s">
        <v>115</v>
      </c>
      <c r="B9" s="35">
        <f>'Титульный лист'!$I$38</f>
        <v>200000</v>
      </c>
      <c r="C9" s="35">
        <f>'Титульный лист'!$I$38</f>
        <v>200000</v>
      </c>
      <c r="D9" s="35">
        <f>'Титульный лист'!$I$38</f>
        <v>200000</v>
      </c>
      <c r="E9" s="35">
        <f>'Титульный лист'!$I$38</f>
        <v>200000</v>
      </c>
      <c r="F9" s="35">
        <f>'Титульный лист'!$I$38</f>
        <v>200000</v>
      </c>
      <c r="G9" s="35">
        <f>'Титульный лист'!$I$38</f>
        <v>200000</v>
      </c>
      <c r="H9" s="35">
        <f>'Титульный лист'!$I$38</f>
        <v>200000</v>
      </c>
      <c r="I9" s="35">
        <f>'Титульный лист'!$I$38</f>
        <v>200000</v>
      </c>
      <c r="J9" s="35">
        <f>'Титульный лист'!$I$38</f>
        <v>200000</v>
      </c>
      <c r="K9" s="35">
        <f>'Титульный лист'!$I$38</f>
        <v>200000</v>
      </c>
      <c r="L9" s="35">
        <f>'Титульный лист'!$I$38</f>
        <v>200000</v>
      </c>
      <c r="M9" s="35">
        <f>'Титульный лист'!$I$38</f>
        <v>200000</v>
      </c>
      <c r="N9" s="35">
        <f>'Титульный лист'!$I$38</f>
        <v>200000</v>
      </c>
      <c r="O9" s="35">
        <f>'Титульный лист'!$I$38</f>
        <v>200000</v>
      </c>
      <c r="P9" s="35">
        <f>'Титульный лист'!$I$38</f>
        <v>200000</v>
      </c>
      <c r="Q9" s="35">
        <f>'Титульный лист'!$I$38</f>
        <v>200000</v>
      </c>
      <c r="R9" s="35">
        <f>'Титульный лист'!$I$38</f>
        <v>200000</v>
      </c>
      <c r="S9" s="35">
        <f>'Титульный лист'!$I$38</f>
        <v>200000</v>
      </c>
      <c r="T9" s="35">
        <f>'Титульный лист'!$I$38</f>
        <v>200000</v>
      </c>
      <c r="U9" s="35">
        <f>'Титульный лист'!$I$38</f>
        <v>200000</v>
      </c>
      <c r="V9" s="35">
        <f>'Титульный лист'!$I$38</f>
        <v>200000</v>
      </c>
      <c r="W9" s="35">
        <f>'Титульный лист'!$I$38</f>
        <v>200000</v>
      </c>
      <c r="X9" s="35">
        <f>'Титульный лист'!$I$38</f>
        <v>200000</v>
      </c>
      <c r="Y9" s="35">
        <f>'Титульный лист'!$I$38</f>
        <v>200000</v>
      </c>
    </row>
    <row r="10" spans="1:25" x14ac:dyDescent="0.25">
      <c r="A10" s="36" t="s">
        <v>101</v>
      </c>
      <c r="B10" s="35">
        <f>ФОТ!B21</f>
        <v>2975000</v>
      </c>
      <c r="C10" s="35">
        <f>ФОТ!C21</f>
        <v>2975000</v>
      </c>
      <c r="D10" s="35">
        <f>ФОТ!D21</f>
        <v>2975000</v>
      </c>
      <c r="E10" s="35">
        <f>ФОТ!E21</f>
        <v>2975000</v>
      </c>
      <c r="F10" s="35">
        <f>ФОТ!F21</f>
        <v>2975000</v>
      </c>
      <c r="G10" s="35">
        <f>ФОТ!G21</f>
        <v>2975000</v>
      </c>
      <c r="H10" s="35">
        <f>ФОТ!H21</f>
        <v>2975000</v>
      </c>
      <c r="I10" s="35">
        <f>ФОТ!I21</f>
        <v>2975000</v>
      </c>
      <c r="J10" s="35">
        <f>ФОТ!J21</f>
        <v>2975000</v>
      </c>
      <c r="K10" s="35">
        <f>ФОТ!K21</f>
        <v>2975000</v>
      </c>
      <c r="L10" s="35">
        <f>ФОТ!L21</f>
        <v>2975000</v>
      </c>
      <c r="M10" s="35">
        <f>ФОТ!M21</f>
        <v>2975000</v>
      </c>
      <c r="N10" s="35">
        <f>ФОТ!N21</f>
        <v>2975000</v>
      </c>
      <c r="O10" s="35">
        <f>ФОТ!O21</f>
        <v>2975000</v>
      </c>
      <c r="P10" s="35">
        <f>ФОТ!P21</f>
        <v>2975000</v>
      </c>
      <c r="Q10" s="35">
        <f>ФОТ!Q21</f>
        <v>2975000</v>
      </c>
      <c r="R10" s="35">
        <f>ФОТ!R21</f>
        <v>2975000</v>
      </c>
      <c r="S10" s="35">
        <f>ФОТ!S21</f>
        <v>2975000</v>
      </c>
      <c r="T10" s="35">
        <f>ФОТ!T21</f>
        <v>2975000</v>
      </c>
      <c r="U10" s="35">
        <f>ФОТ!U21</f>
        <v>2975000</v>
      </c>
      <c r="V10" s="35">
        <f>ФОТ!V21</f>
        <v>2975000</v>
      </c>
      <c r="W10" s="35">
        <f>ФОТ!W21</f>
        <v>2975000</v>
      </c>
      <c r="X10" s="35">
        <f>ФОТ!X21</f>
        <v>2975000</v>
      </c>
      <c r="Y10" s="35">
        <f>ФОТ!Y21</f>
        <v>2975000</v>
      </c>
    </row>
    <row r="11" spans="1:25" s="63" customFormat="1" x14ac:dyDescent="0.3">
      <c r="A11" s="37" t="s">
        <v>14</v>
      </c>
      <c r="B11" s="60">
        <f>SUM(B3:B10)</f>
        <v>57743444.444444448</v>
      </c>
      <c r="C11" s="60">
        <f t="shared" ref="C11:Y11" si="0">SUM(C3:C10)</f>
        <v>84055444.444444448</v>
      </c>
      <c r="D11" s="60">
        <f t="shared" si="0"/>
        <v>110367444.44444445</v>
      </c>
      <c r="E11" s="60">
        <f t="shared" si="0"/>
        <v>123523444.44444445</v>
      </c>
      <c r="F11" s="60">
        <f t="shared" si="0"/>
        <v>136679444.44444445</v>
      </c>
      <c r="G11" s="60">
        <f t="shared" si="0"/>
        <v>136679444.44444445</v>
      </c>
      <c r="H11" s="60">
        <f t="shared" si="0"/>
        <v>136679444.44444445</v>
      </c>
      <c r="I11" s="60">
        <f t="shared" si="0"/>
        <v>136679444.44444445</v>
      </c>
      <c r="J11" s="60">
        <f t="shared" si="0"/>
        <v>136679444.44444445</v>
      </c>
      <c r="K11" s="60">
        <f t="shared" si="0"/>
        <v>136679444.44444445</v>
      </c>
      <c r="L11" s="60">
        <f t="shared" si="0"/>
        <v>136679444.44444445</v>
      </c>
      <c r="M11" s="60">
        <f t="shared" si="0"/>
        <v>136679444.44444445</v>
      </c>
      <c r="N11" s="60">
        <f t="shared" si="0"/>
        <v>136679444.44444445</v>
      </c>
      <c r="O11" s="60">
        <f t="shared" si="0"/>
        <v>136679444.44444445</v>
      </c>
      <c r="P11" s="60">
        <f t="shared" si="0"/>
        <v>136679444.44444445</v>
      </c>
      <c r="Q11" s="60">
        <f t="shared" si="0"/>
        <v>136679444.44444445</v>
      </c>
      <c r="R11" s="60">
        <f t="shared" si="0"/>
        <v>136679444.44444445</v>
      </c>
      <c r="S11" s="60">
        <f t="shared" si="0"/>
        <v>136679444.44444445</v>
      </c>
      <c r="T11" s="60">
        <f t="shared" si="0"/>
        <v>136679444.44444445</v>
      </c>
      <c r="U11" s="60">
        <f t="shared" si="0"/>
        <v>136679444.44444445</v>
      </c>
      <c r="V11" s="60">
        <f t="shared" si="0"/>
        <v>136679444.44444445</v>
      </c>
      <c r="W11" s="60">
        <f t="shared" si="0"/>
        <v>136679444.44444445</v>
      </c>
      <c r="X11" s="60">
        <f t="shared" si="0"/>
        <v>136679444.44444445</v>
      </c>
      <c r="Y11" s="60">
        <f t="shared" si="0"/>
        <v>136679444.44444445</v>
      </c>
    </row>
  </sheetData>
  <mergeCells count="2">
    <mergeCell ref="B1:Y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Z34"/>
  <sheetViews>
    <sheetView showGridLines="0" showZeros="0" topLeftCell="F1" zoomScaleNormal="100" workbookViewId="0">
      <selection activeCell="B10" sqref="B10"/>
    </sheetView>
  </sheetViews>
  <sheetFormatPr defaultRowHeight="18.75" x14ac:dyDescent="0.3"/>
  <cols>
    <col min="1" max="1" width="48.7109375" style="22" customWidth="1"/>
    <col min="2" max="2" width="17" style="7" customWidth="1"/>
    <col min="3" max="3" width="21.85546875" style="7" customWidth="1"/>
    <col min="4" max="4" width="19.42578125" style="7" customWidth="1"/>
    <col min="5" max="5" width="20.140625" style="7" customWidth="1"/>
    <col min="6" max="6" width="18.85546875" style="7" customWidth="1"/>
    <col min="7" max="7" width="17.5703125" style="7" customWidth="1"/>
    <col min="8" max="8" width="19.140625" style="7" customWidth="1"/>
    <col min="9" max="9" width="21.7109375" style="7" customWidth="1"/>
    <col min="10" max="10" width="18.5703125" style="7" customWidth="1"/>
    <col min="11" max="11" width="21.85546875" style="7" customWidth="1"/>
    <col min="12" max="12" width="18.85546875" style="7" customWidth="1"/>
    <col min="13" max="13" width="19.85546875" style="7" customWidth="1"/>
    <col min="14" max="14" width="17.42578125" style="7" customWidth="1"/>
    <col min="15" max="15" width="19.5703125" style="7" customWidth="1"/>
    <col min="16" max="16" width="15.5703125" style="7" customWidth="1"/>
    <col min="17" max="17" width="17.7109375" style="7" customWidth="1"/>
    <col min="18" max="18" width="15.85546875" style="7" customWidth="1"/>
    <col min="19" max="19" width="17.140625" style="7" customWidth="1"/>
    <col min="20" max="20" width="18.140625" style="7" customWidth="1"/>
    <col min="21" max="21" width="21.42578125" style="7" customWidth="1"/>
    <col min="22" max="22" width="17.140625" style="7" customWidth="1"/>
    <col min="23" max="23" width="18.42578125" style="7" customWidth="1"/>
    <col min="24" max="24" width="16.28515625" style="7" customWidth="1"/>
    <col min="25" max="25" width="16.85546875" style="7" customWidth="1"/>
  </cols>
  <sheetData>
    <row r="1" spans="1:26" x14ac:dyDescent="0.3">
      <c r="A1" s="110" t="s">
        <v>31</v>
      </c>
      <c r="B1" s="111" t="s">
        <v>45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6" x14ac:dyDescent="0.3">
      <c r="A2" s="110"/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8" t="s">
        <v>32</v>
      </c>
      <c r="O2" s="38" t="s">
        <v>33</v>
      </c>
      <c r="P2" s="38" t="s">
        <v>34</v>
      </c>
      <c r="Q2" s="38" t="s">
        <v>35</v>
      </c>
      <c r="R2" s="38" t="s">
        <v>36</v>
      </c>
      <c r="S2" s="38" t="s">
        <v>37</v>
      </c>
      <c r="T2" s="38" t="s">
        <v>38</v>
      </c>
      <c r="U2" s="38" t="s">
        <v>39</v>
      </c>
      <c r="V2" s="38" t="s">
        <v>40</v>
      </c>
      <c r="W2" s="38" t="s">
        <v>41</v>
      </c>
      <c r="X2" s="38" t="s">
        <v>42</v>
      </c>
      <c r="Y2" s="38" t="s">
        <v>43</v>
      </c>
    </row>
    <row r="3" spans="1:26" x14ac:dyDescent="0.3">
      <c r="A3" s="39" t="s">
        <v>16</v>
      </c>
      <c r="B3" s="30">
        <f>Продажи!C12</f>
        <v>68411200</v>
      </c>
      <c r="C3" s="30">
        <f>Продажи!D12</f>
        <v>102616800</v>
      </c>
      <c r="D3" s="30">
        <f>Продажи!E12</f>
        <v>136822400</v>
      </c>
      <c r="E3" s="30">
        <f>Продажи!F12</f>
        <v>153925200</v>
      </c>
      <c r="F3" s="30">
        <f>Продажи!G12</f>
        <v>171028000</v>
      </c>
      <c r="G3" s="30">
        <f>Продажи!H12</f>
        <v>171028000</v>
      </c>
      <c r="H3" s="30">
        <f>Продажи!I12</f>
        <v>171028000</v>
      </c>
      <c r="I3" s="30">
        <f>Продажи!J12</f>
        <v>171028000</v>
      </c>
      <c r="J3" s="30">
        <f>Продажи!K12</f>
        <v>171028000</v>
      </c>
      <c r="K3" s="30">
        <f>Продажи!L12</f>
        <v>171028000</v>
      </c>
      <c r="L3" s="30">
        <f>Продажи!M12</f>
        <v>171028000</v>
      </c>
      <c r="M3" s="30">
        <f>Продажи!N12</f>
        <v>171028000</v>
      </c>
      <c r="N3" s="30">
        <f>Продажи!O12</f>
        <v>171028000</v>
      </c>
      <c r="O3" s="30">
        <f>Продажи!P12</f>
        <v>171028000</v>
      </c>
      <c r="P3" s="30">
        <f>Продажи!Q12</f>
        <v>171028000</v>
      </c>
      <c r="Q3" s="30">
        <f>Продажи!R12</f>
        <v>171028000</v>
      </c>
      <c r="R3" s="30">
        <f>Продажи!S12</f>
        <v>171028000</v>
      </c>
      <c r="S3" s="30">
        <f>Продажи!T12</f>
        <v>171028000</v>
      </c>
      <c r="T3" s="30">
        <f>Продажи!U12</f>
        <v>171028000</v>
      </c>
      <c r="U3" s="30">
        <f>Продажи!V12</f>
        <v>171028000</v>
      </c>
      <c r="V3" s="30">
        <f>Продажи!W12</f>
        <v>171028000</v>
      </c>
      <c r="W3" s="30">
        <f>Продажи!X12</f>
        <v>171028000</v>
      </c>
      <c r="X3" s="30">
        <f>Продажи!Y12</f>
        <v>171028000</v>
      </c>
      <c r="Y3" s="30">
        <f>Продажи!Z12</f>
        <v>171028000</v>
      </c>
    </row>
    <row r="4" spans="1:26" x14ac:dyDescent="0.3">
      <c r="A4" s="39" t="s">
        <v>1</v>
      </c>
      <c r="B4" s="30">
        <f>Затраты!B11</f>
        <v>57743444.444444448</v>
      </c>
      <c r="C4" s="30">
        <f>Затраты!C11</f>
        <v>84055444.444444448</v>
      </c>
      <c r="D4" s="30">
        <f>Затраты!D11</f>
        <v>110367444.44444445</v>
      </c>
      <c r="E4" s="30">
        <f>Затраты!E11</f>
        <v>123523444.44444445</v>
      </c>
      <c r="F4" s="30">
        <f>Затраты!F11</f>
        <v>136679444.44444445</v>
      </c>
      <c r="G4" s="30">
        <f>Затраты!G11</f>
        <v>136679444.44444445</v>
      </c>
      <c r="H4" s="30">
        <f>Затраты!H11</f>
        <v>136679444.44444445</v>
      </c>
      <c r="I4" s="30">
        <f>Затраты!I11</f>
        <v>136679444.44444445</v>
      </c>
      <c r="J4" s="30">
        <f>Затраты!J11</f>
        <v>136679444.44444445</v>
      </c>
      <c r="K4" s="30">
        <f>Затраты!K11</f>
        <v>136679444.44444445</v>
      </c>
      <c r="L4" s="30">
        <f>Затраты!L11</f>
        <v>136679444.44444445</v>
      </c>
      <c r="M4" s="30">
        <f>Затраты!M11</f>
        <v>136679444.44444445</v>
      </c>
      <c r="N4" s="30">
        <f>Затраты!N11</f>
        <v>136679444.44444445</v>
      </c>
      <c r="O4" s="30">
        <f>Затраты!O11</f>
        <v>136679444.44444445</v>
      </c>
      <c r="P4" s="30">
        <f>Затраты!P11</f>
        <v>136679444.44444445</v>
      </c>
      <c r="Q4" s="30">
        <f>Затраты!Q11</f>
        <v>136679444.44444445</v>
      </c>
      <c r="R4" s="30">
        <f>Затраты!R11</f>
        <v>136679444.44444445</v>
      </c>
      <c r="S4" s="30">
        <f>Затраты!S11</f>
        <v>136679444.44444445</v>
      </c>
      <c r="T4" s="30">
        <f>Затраты!T11</f>
        <v>136679444.44444445</v>
      </c>
      <c r="U4" s="30">
        <f>Затраты!U11</f>
        <v>136679444.44444445</v>
      </c>
      <c r="V4" s="30">
        <f>Затраты!V11</f>
        <v>136679444.44444445</v>
      </c>
      <c r="W4" s="30">
        <f>Затраты!W11</f>
        <v>136679444.44444445</v>
      </c>
      <c r="X4" s="30">
        <f>Затраты!X11</f>
        <v>136679444.44444445</v>
      </c>
      <c r="Y4" s="30">
        <f>Затраты!Y11</f>
        <v>136679444.44444445</v>
      </c>
    </row>
    <row r="5" spans="1:26" x14ac:dyDescent="0.3">
      <c r="A5" s="39" t="s">
        <v>20</v>
      </c>
      <c r="B5" s="30">
        <f>B3-B4</f>
        <v>10667755.555555552</v>
      </c>
      <c r="C5" s="30">
        <f t="shared" ref="C5:Y5" si="0">C3-C4</f>
        <v>18561355.555555552</v>
      </c>
      <c r="D5" s="30">
        <f t="shared" si="0"/>
        <v>26454955.555555552</v>
      </c>
      <c r="E5" s="30">
        <f t="shared" si="0"/>
        <v>30401755.555555552</v>
      </c>
      <c r="F5" s="30">
        <f t="shared" si="0"/>
        <v>34348555.555555552</v>
      </c>
      <c r="G5" s="30">
        <f t="shared" si="0"/>
        <v>34348555.555555552</v>
      </c>
      <c r="H5" s="30">
        <f t="shared" si="0"/>
        <v>34348555.555555552</v>
      </c>
      <c r="I5" s="30">
        <f t="shared" si="0"/>
        <v>34348555.555555552</v>
      </c>
      <c r="J5" s="30">
        <f t="shared" si="0"/>
        <v>34348555.555555552</v>
      </c>
      <c r="K5" s="30">
        <f t="shared" si="0"/>
        <v>34348555.555555552</v>
      </c>
      <c r="L5" s="30">
        <f t="shared" si="0"/>
        <v>34348555.555555552</v>
      </c>
      <c r="M5" s="30">
        <f t="shared" si="0"/>
        <v>34348555.555555552</v>
      </c>
      <c r="N5" s="30">
        <f t="shared" si="0"/>
        <v>34348555.555555552</v>
      </c>
      <c r="O5" s="30">
        <f t="shared" si="0"/>
        <v>34348555.555555552</v>
      </c>
      <c r="P5" s="30">
        <f t="shared" si="0"/>
        <v>34348555.555555552</v>
      </c>
      <c r="Q5" s="30">
        <f t="shared" si="0"/>
        <v>34348555.555555552</v>
      </c>
      <c r="R5" s="30">
        <f t="shared" si="0"/>
        <v>34348555.555555552</v>
      </c>
      <c r="S5" s="30">
        <f t="shared" si="0"/>
        <v>34348555.555555552</v>
      </c>
      <c r="T5" s="30">
        <f t="shared" si="0"/>
        <v>34348555.555555552</v>
      </c>
      <c r="U5" s="30">
        <f t="shared" si="0"/>
        <v>34348555.555555552</v>
      </c>
      <c r="V5" s="30">
        <f t="shared" si="0"/>
        <v>34348555.555555552</v>
      </c>
      <c r="W5" s="30">
        <f t="shared" si="0"/>
        <v>34348555.555555552</v>
      </c>
      <c r="X5" s="30">
        <f t="shared" si="0"/>
        <v>34348555.555555552</v>
      </c>
      <c r="Y5" s="30">
        <f t="shared" si="0"/>
        <v>34348555.555555552</v>
      </c>
    </row>
    <row r="6" spans="1:26" x14ac:dyDescent="0.3">
      <c r="A6" s="39" t="s">
        <v>105</v>
      </c>
      <c r="B6" s="30">
        <f>B3*0.06</f>
        <v>4104672</v>
      </c>
      <c r="C6" s="30">
        <f t="shared" ref="C6:Y6" si="1">C3*0.06</f>
        <v>6157008</v>
      </c>
      <c r="D6" s="30">
        <f t="shared" si="1"/>
        <v>8209344</v>
      </c>
      <c r="E6" s="30">
        <f t="shared" si="1"/>
        <v>9235512</v>
      </c>
      <c r="F6" s="30">
        <f t="shared" si="1"/>
        <v>10261680</v>
      </c>
      <c r="G6" s="30">
        <f t="shared" si="1"/>
        <v>10261680</v>
      </c>
      <c r="H6" s="30">
        <f t="shared" si="1"/>
        <v>10261680</v>
      </c>
      <c r="I6" s="30">
        <f t="shared" si="1"/>
        <v>10261680</v>
      </c>
      <c r="J6" s="30">
        <f t="shared" si="1"/>
        <v>10261680</v>
      </c>
      <c r="K6" s="30">
        <f t="shared" si="1"/>
        <v>10261680</v>
      </c>
      <c r="L6" s="30">
        <f t="shared" si="1"/>
        <v>10261680</v>
      </c>
      <c r="M6" s="30">
        <f t="shared" si="1"/>
        <v>10261680</v>
      </c>
      <c r="N6" s="30">
        <f t="shared" si="1"/>
        <v>10261680</v>
      </c>
      <c r="O6" s="30">
        <f t="shared" si="1"/>
        <v>10261680</v>
      </c>
      <c r="P6" s="30">
        <f t="shared" si="1"/>
        <v>10261680</v>
      </c>
      <c r="Q6" s="30">
        <f t="shared" si="1"/>
        <v>10261680</v>
      </c>
      <c r="R6" s="30">
        <f t="shared" si="1"/>
        <v>10261680</v>
      </c>
      <c r="S6" s="30">
        <f t="shared" si="1"/>
        <v>10261680</v>
      </c>
      <c r="T6" s="30">
        <f t="shared" si="1"/>
        <v>10261680</v>
      </c>
      <c r="U6" s="30">
        <f t="shared" si="1"/>
        <v>10261680</v>
      </c>
      <c r="V6" s="30">
        <f t="shared" si="1"/>
        <v>10261680</v>
      </c>
      <c r="W6" s="30">
        <f t="shared" si="1"/>
        <v>10261680</v>
      </c>
      <c r="X6" s="30">
        <f t="shared" si="1"/>
        <v>10261680</v>
      </c>
      <c r="Y6" s="30">
        <f t="shared" si="1"/>
        <v>10261680</v>
      </c>
    </row>
    <row r="7" spans="1:26" x14ac:dyDescent="0.3">
      <c r="A7" s="39" t="s">
        <v>19</v>
      </c>
      <c r="B7" s="30">
        <f>B5-B6</f>
        <v>6563083.5555555522</v>
      </c>
      <c r="C7" s="30">
        <f t="shared" ref="C7:Y7" si="2">C5-C6</f>
        <v>12404347.555555552</v>
      </c>
      <c r="D7" s="30">
        <f t="shared" si="2"/>
        <v>18245611.555555552</v>
      </c>
      <c r="E7" s="30">
        <f t="shared" si="2"/>
        <v>21166243.555555552</v>
      </c>
      <c r="F7" s="30">
        <f t="shared" si="2"/>
        <v>24086875.555555552</v>
      </c>
      <c r="G7" s="30">
        <f t="shared" si="2"/>
        <v>24086875.555555552</v>
      </c>
      <c r="H7" s="30">
        <f t="shared" si="2"/>
        <v>24086875.555555552</v>
      </c>
      <c r="I7" s="30">
        <f t="shared" si="2"/>
        <v>24086875.555555552</v>
      </c>
      <c r="J7" s="30">
        <f t="shared" si="2"/>
        <v>24086875.555555552</v>
      </c>
      <c r="K7" s="30">
        <f t="shared" si="2"/>
        <v>24086875.555555552</v>
      </c>
      <c r="L7" s="30">
        <f t="shared" si="2"/>
        <v>24086875.555555552</v>
      </c>
      <c r="M7" s="30">
        <f t="shared" si="2"/>
        <v>24086875.555555552</v>
      </c>
      <c r="N7" s="30">
        <f t="shared" si="2"/>
        <v>24086875.555555552</v>
      </c>
      <c r="O7" s="30">
        <f t="shared" si="2"/>
        <v>24086875.555555552</v>
      </c>
      <c r="P7" s="30">
        <f t="shared" si="2"/>
        <v>24086875.555555552</v>
      </c>
      <c r="Q7" s="30">
        <f t="shared" si="2"/>
        <v>24086875.555555552</v>
      </c>
      <c r="R7" s="30">
        <f t="shared" si="2"/>
        <v>24086875.555555552</v>
      </c>
      <c r="S7" s="30">
        <f t="shared" si="2"/>
        <v>24086875.555555552</v>
      </c>
      <c r="T7" s="30">
        <f t="shared" si="2"/>
        <v>24086875.555555552</v>
      </c>
      <c r="U7" s="30">
        <f t="shared" si="2"/>
        <v>24086875.555555552</v>
      </c>
      <c r="V7" s="30">
        <f t="shared" si="2"/>
        <v>24086875.555555552</v>
      </c>
      <c r="W7" s="30">
        <f t="shared" si="2"/>
        <v>24086875.555555552</v>
      </c>
      <c r="X7" s="30">
        <f t="shared" si="2"/>
        <v>24086875.555555552</v>
      </c>
      <c r="Y7" s="30">
        <f t="shared" si="2"/>
        <v>24086875.555555552</v>
      </c>
    </row>
    <row r="8" spans="1:26" x14ac:dyDescent="0.3">
      <c r="A8" s="40" t="s">
        <v>18</v>
      </c>
      <c r="B8" s="41">
        <f>B7</f>
        <v>6563083.5555555522</v>
      </c>
      <c r="C8" s="41">
        <f>B8+C7</f>
        <v>18967431.111111104</v>
      </c>
      <c r="D8" s="41">
        <f>C8+D7</f>
        <v>37213042.666666657</v>
      </c>
      <c r="E8" s="41">
        <f t="shared" ref="E8:Y8" si="3">D8+E7</f>
        <v>58379286.222222209</v>
      </c>
      <c r="F8" s="41">
        <f>E8+F7</f>
        <v>82466161.777777761</v>
      </c>
      <c r="G8" s="41">
        <f t="shared" si="3"/>
        <v>106553037.33333331</v>
      </c>
      <c r="H8" s="41">
        <f t="shared" si="3"/>
        <v>130639912.88888887</v>
      </c>
      <c r="I8" s="41">
        <f t="shared" si="3"/>
        <v>154726788.44444442</v>
      </c>
      <c r="J8" s="41">
        <f t="shared" si="3"/>
        <v>178813663.99999997</v>
      </c>
      <c r="K8" s="41">
        <f t="shared" si="3"/>
        <v>202900539.55555552</v>
      </c>
      <c r="L8" s="41">
        <f t="shared" si="3"/>
        <v>226987415.11111107</v>
      </c>
      <c r="M8" s="41">
        <f t="shared" si="3"/>
        <v>251074290.66666663</v>
      </c>
      <c r="N8" s="41">
        <f t="shared" si="3"/>
        <v>275161166.22222221</v>
      </c>
      <c r="O8" s="41">
        <f t="shared" si="3"/>
        <v>299248041.77777779</v>
      </c>
      <c r="P8" s="41">
        <f t="shared" si="3"/>
        <v>323334917.33333337</v>
      </c>
      <c r="Q8" s="41">
        <f t="shared" si="3"/>
        <v>347421792.88888896</v>
      </c>
      <c r="R8" s="41">
        <f t="shared" si="3"/>
        <v>371508668.44444454</v>
      </c>
      <c r="S8" s="41">
        <f t="shared" si="3"/>
        <v>395595544.00000012</v>
      </c>
      <c r="T8" s="41">
        <f t="shared" si="3"/>
        <v>419682419.5555557</v>
      </c>
      <c r="U8" s="41">
        <f t="shared" si="3"/>
        <v>443769295.11111128</v>
      </c>
      <c r="V8" s="41">
        <f t="shared" si="3"/>
        <v>467856170.66666687</v>
      </c>
      <c r="W8" s="41">
        <f t="shared" si="3"/>
        <v>491943046.22222245</v>
      </c>
      <c r="X8" s="41">
        <f t="shared" si="3"/>
        <v>516029921.77777803</v>
      </c>
      <c r="Y8" s="41">
        <f t="shared" si="3"/>
        <v>540116797.33333361</v>
      </c>
    </row>
    <row r="9" spans="1:26" x14ac:dyDescent="0.3">
      <c r="A9" s="39" t="s">
        <v>17</v>
      </c>
      <c r="B9" s="30">
        <f>-Инвестиции!C9+B7</f>
        <v>-42236916.444444448</v>
      </c>
      <c r="C9" s="30">
        <f t="shared" ref="C9:I9" si="4">B9+C7</f>
        <v>-29832568.888888896</v>
      </c>
      <c r="D9" s="30">
        <f t="shared" si="4"/>
        <v>-11586957.333333343</v>
      </c>
      <c r="E9" s="30">
        <f t="shared" si="4"/>
        <v>9579286.222222209</v>
      </c>
      <c r="F9" s="30">
        <f t="shared" si="4"/>
        <v>33666161.777777761</v>
      </c>
      <c r="G9" s="30">
        <f t="shared" si="4"/>
        <v>57753037.333333313</v>
      </c>
      <c r="H9" s="30">
        <f t="shared" si="4"/>
        <v>81839912.888888866</v>
      </c>
      <c r="I9" s="30">
        <f t="shared" si="4"/>
        <v>105926788.44444442</v>
      </c>
      <c r="J9" s="30">
        <f t="shared" ref="J9:Y9" si="5">I9+J7</f>
        <v>130013663.99999997</v>
      </c>
      <c r="K9" s="30">
        <f>J9+K7</f>
        <v>154100539.55555552</v>
      </c>
      <c r="L9" s="30">
        <f t="shared" si="5"/>
        <v>178187415.11111107</v>
      </c>
      <c r="M9" s="30">
        <f t="shared" si="5"/>
        <v>202274290.66666663</v>
      </c>
      <c r="N9" s="30">
        <f>M9+N7</f>
        <v>226361166.22222218</v>
      </c>
      <c r="O9" s="30">
        <f t="shared" si="5"/>
        <v>250448041.77777773</v>
      </c>
      <c r="P9" s="30">
        <f t="shared" si="5"/>
        <v>274534917.33333325</v>
      </c>
      <c r="Q9" s="30">
        <f t="shared" si="5"/>
        <v>298621792.88888884</v>
      </c>
      <c r="R9" s="30">
        <f t="shared" si="5"/>
        <v>322708668.44444442</v>
      </c>
      <c r="S9" s="30">
        <f t="shared" si="5"/>
        <v>346795544</v>
      </c>
      <c r="T9" s="30">
        <f t="shared" si="5"/>
        <v>370882419.55555558</v>
      </c>
      <c r="U9" s="30">
        <f t="shared" si="5"/>
        <v>394969295.11111116</v>
      </c>
      <c r="V9" s="30">
        <f t="shared" si="5"/>
        <v>419056170.66666675</v>
      </c>
      <c r="W9" s="30">
        <f t="shared" si="5"/>
        <v>443143046.22222233</v>
      </c>
      <c r="X9" s="30">
        <f t="shared" si="5"/>
        <v>467229921.77777791</v>
      </c>
      <c r="Y9" s="30">
        <f t="shared" si="5"/>
        <v>491316797.33333349</v>
      </c>
    </row>
    <row r="10" spans="1:26" x14ac:dyDescent="0.3">
      <c r="A10" s="39" t="s">
        <v>46</v>
      </c>
      <c r="B10" s="30">
        <f t="shared" ref="B10:Y10" si="6">IF(B9&gt;0,IF(A9&lt;0,B2,),)</f>
        <v>0</v>
      </c>
      <c r="C10" s="30">
        <f t="shared" si="6"/>
        <v>0</v>
      </c>
      <c r="D10" s="30">
        <f t="shared" si="6"/>
        <v>0</v>
      </c>
      <c r="E10" s="30" t="str">
        <f t="shared" si="6"/>
        <v>4 месяц</v>
      </c>
      <c r="F10" s="30">
        <f t="shared" si="6"/>
        <v>0</v>
      </c>
      <c r="G10" s="30">
        <f t="shared" si="6"/>
        <v>0</v>
      </c>
      <c r="H10" s="30">
        <f t="shared" si="6"/>
        <v>0</v>
      </c>
      <c r="I10" s="30">
        <f t="shared" si="6"/>
        <v>0</v>
      </c>
      <c r="J10" s="30">
        <f t="shared" si="6"/>
        <v>0</v>
      </c>
      <c r="K10" s="30">
        <f t="shared" si="6"/>
        <v>0</v>
      </c>
      <c r="L10" s="30">
        <f t="shared" si="6"/>
        <v>0</v>
      </c>
      <c r="M10" s="30">
        <f t="shared" si="6"/>
        <v>0</v>
      </c>
      <c r="N10" s="30">
        <f t="shared" si="6"/>
        <v>0</v>
      </c>
      <c r="O10" s="30">
        <f t="shared" si="6"/>
        <v>0</v>
      </c>
      <c r="P10" s="30">
        <f t="shared" si="6"/>
        <v>0</v>
      </c>
      <c r="Q10" s="30">
        <f t="shared" si="6"/>
        <v>0</v>
      </c>
      <c r="R10" s="30">
        <f t="shared" si="6"/>
        <v>0</v>
      </c>
      <c r="S10" s="30">
        <f t="shared" si="6"/>
        <v>0</v>
      </c>
      <c r="T10" s="30">
        <f t="shared" si="6"/>
        <v>0</v>
      </c>
      <c r="U10" s="30">
        <f t="shared" si="6"/>
        <v>0</v>
      </c>
      <c r="V10" s="30">
        <f t="shared" si="6"/>
        <v>0</v>
      </c>
      <c r="W10" s="30">
        <f t="shared" si="6"/>
        <v>0</v>
      </c>
      <c r="X10" s="30">
        <f t="shared" si="6"/>
        <v>0</v>
      </c>
      <c r="Y10" s="30">
        <f t="shared" si="6"/>
        <v>0</v>
      </c>
    </row>
    <row r="11" spans="1:26" hidden="1" x14ac:dyDescent="0.3">
      <c r="B11" s="30">
        <f>IF(B12&gt;Инвестиции!$C$9,IF(A12&lt;Инвестиции!$C$9,B2,),)</f>
        <v>0</v>
      </c>
      <c r="C11" s="30">
        <f>IF(C12&gt;Инвестиции!$C$9,IF(B12&lt;Инвестиции!$C$9,C2,),)</f>
        <v>0</v>
      </c>
      <c r="D11" s="30">
        <f>IF(D12&gt;Инвестиции!$C$9,IF(C12&lt;Инвестиции!$C$9,D2,),)</f>
        <v>0</v>
      </c>
      <c r="E11" s="30" t="str">
        <f>IF(E12&gt;Инвестиции!$C$9,IF(D12&lt;Инвестиции!$C$9,E2,),)</f>
        <v>4 месяц</v>
      </c>
      <c r="F11" s="30">
        <f>IF(F12&gt;Инвестиции!$C$9,IF(E12&lt;Инвестиции!$C$9,F2,),)</f>
        <v>0</v>
      </c>
      <c r="G11" s="30">
        <f>IF(G12&gt;Инвестиции!$C$9,IF(F12&lt;Инвестиции!$C$9,G2,),)</f>
        <v>0</v>
      </c>
      <c r="H11" s="30">
        <f>IF(H12&gt;Инвестиции!$C$9,IF(G12&lt;Инвестиции!$C$9,H2,),)</f>
        <v>0</v>
      </c>
      <c r="I11" s="30">
        <f>IF(I12&gt;Инвестиции!$C$9,IF(H12&lt;Инвестиции!$C$9,I2,),)</f>
        <v>0</v>
      </c>
      <c r="J11" s="30">
        <f>IF(J12&gt;Инвестиции!$C$9,IF(I12&lt;Инвестиции!$C$9,J2,),)</f>
        <v>0</v>
      </c>
      <c r="K11" s="30">
        <f>IF(K12&gt;Инвестиции!$C$9,IF(J12&lt;Инвестиции!$C$9,K2,),)</f>
        <v>0</v>
      </c>
      <c r="L11" s="30">
        <f>IF(L12&gt;Инвестиции!$C$9,IF(K12&lt;Инвестиции!$C$9,L2,),)</f>
        <v>0</v>
      </c>
      <c r="M11" s="30">
        <f>IF(M12&gt;Инвестиции!$C$9,IF(L12&lt;Инвестиции!$C$9,M2,),)</f>
        <v>0</v>
      </c>
      <c r="N11" s="30">
        <f>IF(N12&gt;Инвестиции!$C$9,IF(M12&lt;Инвестиции!$C$9,N2,),)</f>
        <v>0</v>
      </c>
      <c r="O11" s="30">
        <f>IF(O12&gt;Инвестиции!$C$9,IF(N12&lt;Инвестиции!$C$9,O2,),)</f>
        <v>0</v>
      </c>
      <c r="P11" s="30">
        <f>IF(P12&gt;Инвестиции!$C$9,IF(O12&lt;Инвестиции!$C$9,P2,),)</f>
        <v>0</v>
      </c>
      <c r="Q11" s="30">
        <f>IF(Q12&gt;Инвестиции!$C$9,IF(P12&lt;Инвестиции!$C$9,Q2,),)</f>
        <v>0</v>
      </c>
      <c r="R11" s="30">
        <f>IF(R12&gt;Инвестиции!$C$9,IF(Q12&lt;Инвестиции!$C$9,R2,),)</f>
        <v>0</v>
      </c>
      <c r="S11" s="30">
        <f>IF(S12&gt;Инвестиции!$C$9,IF(R12&lt;Инвестиции!$C$9,S2,),)</f>
        <v>0</v>
      </c>
      <c r="T11" s="30">
        <f>IF(T12&gt;Инвестиции!$C$9,IF(S12&lt;Инвестиции!$C$9,T2,),)</f>
        <v>0</v>
      </c>
      <c r="U11" s="30">
        <f>IF(U12&gt;Инвестиции!$C$9,IF(T12&lt;Инвестиции!$C$9,U2,),)</f>
        <v>0</v>
      </c>
      <c r="V11" s="30">
        <f>IF(V12&gt;Инвестиции!$C$9,IF(U12&lt;Инвестиции!$C$9,V2,),)</f>
        <v>0</v>
      </c>
      <c r="W11" s="30">
        <f>IF(W12&gt;Инвестиции!$C$9,IF(V12&lt;Инвестиции!$C$9,W2,),)</f>
        <v>0</v>
      </c>
      <c r="X11" s="30">
        <f>IF(X12&gt;Инвестиции!$C$9,IF(W12&lt;Инвестиции!$C$9,X2,),)</f>
        <v>0</v>
      </c>
      <c r="Y11" s="30">
        <f>IF(Y12&gt;Инвестиции!$C$9,IF(X12&lt;Инвестиции!$C$9,Y2,),)</f>
        <v>0</v>
      </c>
    </row>
    <row r="12" spans="1:26" hidden="1" x14ac:dyDescent="0.3">
      <c r="B12" s="7">
        <f>B7/(1+0.01*'Экономические показатели'!$C$3)</f>
        <v>5609473.1244064551</v>
      </c>
      <c r="C12" s="7">
        <f>C7/(1+0.01*'Экономические показатели'!$C$3/12)^MATCH(C2,$B$2:$Y$2,0)+B12</f>
        <v>17669694.002422564</v>
      </c>
      <c r="D12" s="7">
        <f>D7/(1+0.01*'Экономические показатели'!$C$3/12)^MATCH(D2,$B$2:$Y$2,0)+C12</f>
        <v>35161329.879069507</v>
      </c>
      <c r="E12" s="7">
        <f>E7/(1+0.01*'Экономические показатели'!$C$3/12)^MATCH(E2,$B$2:$Y$2,0)+D12</f>
        <v>55169458.032888219</v>
      </c>
      <c r="F12" s="7">
        <f>F7/(1+0.01*'Экономические показатели'!$C$3/12)^MATCH(F2,$B$2:$Y$2,0)+E12</f>
        <v>77620360.746568561</v>
      </c>
      <c r="G12" s="7">
        <f>G7/(1+0.01*'Экономические показатели'!$C$3/12)^MATCH(G2,$B$2:$Y$2,0)+F12</f>
        <v>99757651.836475223</v>
      </c>
      <c r="H12" s="7">
        <f>H7/(1+0.01*'Экономические показатели'!$C$3/12)^MATCH(H2,$B$2:$Y$2,0)+G12</f>
        <v>121585712.07303068</v>
      </c>
      <c r="I12" s="7">
        <f>I7/(1+0.01*'Экономические показатели'!$C$3/12)^MATCH(I2,$B$2:$Y$2,0)+H12</f>
        <v>143108861.0326581</v>
      </c>
      <c r="J12" s="7">
        <f>J7/(1+0.01*'Экономические показатели'!$C$3/12)^MATCH(J2,$B$2:$Y$2,0)+I12</f>
        <v>164331357.95258653</v>
      </c>
      <c r="K12" s="7">
        <f>K7/(1+0.01*'Экономические показатели'!$C$3/12)^MATCH(K2,$B$2:$Y$2,0)+J12</f>
        <v>185257402.57371563</v>
      </c>
      <c r="L12" s="7">
        <f>L7/(1+0.01*'Экономические показатели'!$C$3/12)^MATCH(L2,$B$2:$Y$2,0)+K12</f>
        <v>205891135.97170651</v>
      </c>
      <c r="M12" s="7">
        <f>M7/(1+0.01*'Экономические показатели'!$C$3/12)^MATCH(M2,$B$2:$Y$2,0)+L12</f>
        <v>226236641.37646335</v>
      </c>
      <c r="N12" s="7">
        <f>N7/(1+0.01*'Экономические показатели'!$C$3/12)^MATCH(N2,$B$2:$Y$2,0)+M12</f>
        <v>246297944.98016772</v>
      </c>
      <c r="O12" s="7">
        <f>O7/(1+0.01*'Экономические показатели'!$C$3/12)^MATCH(O2,$B$2:$Y$2,0)+N12</f>
        <v>266079016.73402575</v>
      </c>
      <c r="P12" s="7">
        <f>P7/(1+0.01*'Экономические показатели'!$C$3/12)^MATCH(P2,$B$2:$Y$2,0)+O12</f>
        <v>285583771.13388574</v>
      </c>
      <c r="Q12" s="7">
        <f>Q7/(1+0.01*'Экономические показатели'!$C$3/12)^MATCH(Q2,$B$2:$Y$2,0)+P12</f>
        <v>304816067.99488163</v>
      </c>
      <c r="R12" s="7">
        <f>R7/(1+0.01*'Экономические показатели'!$C$3/12)^MATCH(R2,$B$2:$Y$2,0)+Q12</f>
        <v>323779713.21525556</v>
      </c>
      <c r="S12" s="7">
        <f>S7/(1+0.01*'Экономические показатели'!$C$3/12)^MATCH(S2,$B$2:$Y$2,0)+R12</f>
        <v>342478459.52951092</v>
      </c>
      <c r="T12" s="7">
        <f>T7/(1+0.01*'Экономические показатели'!$C$3/12)^MATCH(T2,$B$2:$Y$2,0)+S12</f>
        <v>360916007.25104451</v>
      </c>
      <c r="U12" s="7">
        <f>U7/(1+0.01*'Экономические показатели'!$C$3/12)^MATCH(U2,$B$2:$Y$2,0)+T12</f>
        <v>379096005.0044055</v>
      </c>
      <c r="V12" s="7">
        <f>V7/(1+0.01*'Экономические показатели'!$C$3/12)^MATCH(V2,$B$2:$Y$2,0)+U12</f>
        <v>397022050.44732511</v>
      </c>
      <c r="W12" s="7">
        <f>W7/(1+0.01*'Экономические показатели'!$C$3/12)^MATCH(W2,$B$2:$Y$2,0)+V12</f>
        <v>414697690.98266083</v>
      </c>
      <c r="X12" s="7">
        <f>X7/(1+0.01*'Экономические показатели'!$C$3/12)^MATCH(X2,$B$2:$Y$2,0)+W12</f>
        <v>432126424.46039534</v>
      </c>
      <c r="Y12" s="7">
        <f>Y7/(1+0.01*'Экономические показатели'!$C$3/12)^MATCH(Y2,$B$2:$Y$2,0)+X12</f>
        <v>449311699.86982948</v>
      </c>
    </row>
    <row r="13" spans="1:26" hidden="1" x14ac:dyDescent="0.3">
      <c r="B13" s="7">
        <f>(B3-B4)/B4</f>
        <v>0.18474401134520313</v>
      </c>
      <c r="C13" s="7">
        <f t="shared" ref="C13:Y13" si="7">(C3-C4)/C4</f>
        <v>0.22082276381065932</v>
      </c>
      <c r="D13" s="7">
        <f t="shared" si="7"/>
        <v>0.23969890476962305</v>
      </c>
      <c r="E13" s="7">
        <f t="shared" si="7"/>
        <v>0.24612133908902581</v>
      </c>
      <c r="F13" s="7">
        <f t="shared" si="7"/>
        <v>0.25130739808879654</v>
      </c>
      <c r="G13" s="7">
        <f t="shared" si="7"/>
        <v>0.25130739808879654</v>
      </c>
      <c r="H13" s="7">
        <f t="shared" si="7"/>
        <v>0.25130739808879654</v>
      </c>
      <c r="I13" s="7">
        <f t="shared" si="7"/>
        <v>0.25130739808879654</v>
      </c>
      <c r="J13" s="7">
        <f t="shared" si="7"/>
        <v>0.25130739808879654</v>
      </c>
      <c r="K13" s="7">
        <f t="shared" si="7"/>
        <v>0.25130739808879654</v>
      </c>
      <c r="L13" s="7">
        <f t="shared" si="7"/>
        <v>0.25130739808879654</v>
      </c>
      <c r="M13" s="7">
        <f t="shared" si="7"/>
        <v>0.25130739808879654</v>
      </c>
      <c r="N13" s="7">
        <f t="shared" si="7"/>
        <v>0.25130739808879654</v>
      </c>
      <c r="O13" s="7">
        <f t="shared" si="7"/>
        <v>0.25130739808879654</v>
      </c>
      <c r="P13" s="7">
        <f t="shared" si="7"/>
        <v>0.25130739808879654</v>
      </c>
      <c r="Q13" s="7">
        <f t="shared" si="7"/>
        <v>0.25130739808879654</v>
      </c>
      <c r="R13" s="7">
        <f t="shared" si="7"/>
        <v>0.25130739808879654</v>
      </c>
      <c r="S13" s="7">
        <f t="shared" si="7"/>
        <v>0.25130739808879654</v>
      </c>
      <c r="T13" s="7">
        <f t="shared" si="7"/>
        <v>0.25130739808879654</v>
      </c>
      <c r="U13" s="7">
        <f t="shared" si="7"/>
        <v>0.25130739808879654</v>
      </c>
      <c r="V13" s="7">
        <f t="shared" si="7"/>
        <v>0.25130739808879654</v>
      </c>
      <c r="W13" s="7">
        <f t="shared" si="7"/>
        <v>0.25130739808879654</v>
      </c>
      <c r="X13" s="7">
        <f t="shared" si="7"/>
        <v>0.25130739808879654</v>
      </c>
      <c r="Y13" s="7">
        <f t="shared" si="7"/>
        <v>0.25130739808879654</v>
      </c>
      <c r="Z13" s="52">
        <f>AVERAGE(B13:Y13)</f>
        <v>0.24656395753293495</v>
      </c>
    </row>
    <row r="34" spans="2:25" x14ac:dyDescent="0.3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</sheetData>
  <mergeCells count="2">
    <mergeCell ref="A1:A2"/>
    <mergeCell ref="B1:Y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B2:G23"/>
  <sheetViews>
    <sheetView showGridLines="0" tabSelected="1" zoomScaleNormal="100" workbookViewId="0">
      <selection activeCell="D8" sqref="D8"/>
    </sheetView>
  </sheetViews>
  <sheetFormatPr defaultRowHeight="18.75" x14ac:dyDescent="0.3"/>
  <cols>
    <col min="2" max="2" width="60" style="7" bestFit="1" customWidth="1"/>
    <col min="3" max="3" width="17.42578125" style="7" customWidth="1"/>
    <col min="4" max="4" width="23" customWidth="1"/>
    <col min="6" max="6" width="0" hidden="1" customWidth="1"/>
  </cols>
  <sheetData>
    <row r="2" spans="2:7" x14ac:dyDescent="0.25">
      <c r="B2" s="42" t="s">
        <v>24</v>
      </c>
      <c r="C2" s="43" t="s">
        <v>29</v>
      </c>
      <c r="F2" s="2"/>
    </row>
    <row r="3" spans="2:7" x14ac:dyDescent="0.25">
      <c r="B3" s="44" t="s">
        <v>25</v>
      </c>
      <c r="C3" s="51">
        <v>17</v>
      </c>
      <c r="F3" s="3"/>
    </row>
    <row r="4" spans="2:7" x14ac:dyDescent="0.25">
      <c r="B4" s="44" t="s">
        <v>26</v>
      </c>
      <c r="C4" s="45">
        <f>MATCH("месяц",'Расчет окупаемости'!B11:Y11,1)</f>
        <v>4</v>
      </c>
      <c r="F4" s="4"/>
    </row>
    <row r="5" spans="2:7" x14ac:dyDescent="0.25">
      <c r="B5" s="44" t="s">
        <v>178</v>
      </c>
      <c r="C5" s="35">
        <f>C11+C20-Инвестиции!C9</f>
        <v>376942878.76884115</v>
      </c>
      <c r="F5" s="5">
        <f>(SUM('Расчет окупаемости'!B7:M7)/1.1709)+(SUM('Расчет окупаемости'!N7:Y7)/(1.1709)^2)</f>
        <v>425253462.89728975</v>
      </c>
    </row>
    <row r="6" spans="2:7" x14ac:dyDescent="0.25">
      <c r="B6" s="44" t="s">
        <v>27</v>
      </c>
      <c r="C6" s="46">
        <f>C5/Инвестиции!C9+1</f>
        <v>8.7242393190336305</v>
      </c>
    </row>
    <row r="7" spans="2:7" x14ac:dyDescent="0.25">
      <c r="B7" s="44" t="s">
        <v>28</v>
      </c>
      <c r="C7" s="46" t="e">
        <f>IRR('Расчет окупаемости'!B7:Y7)*100</f>
        <v>#NUM!</v>
      </c>
    </row>
    <row r="8" spans="2:7" x14ac:dyDescent="0.25">
      <c r="B8" s="44" t="s">
        <v>108</v>
      </c>
      <c r="C8" s="53">
        <f>'Расчет окупаемости'!Z13</f>
        <v>0.24656395753293495</v>
      </c>
    </row>
    <row r="9" spans="2:7" x14ac:dyDescent="0.3">
      <c r="B9" s="47"/>
      <c r="C9" s="48"/>
    </row>
    <row r="10" spans="2:7" x14ac:dyDescent="0.3">
      <c r="B10" s="47"/>
      <c r="C10" s="48"/>
    </row>
    <row r="11" spans="2:7" x14ac:dyDescent="0.25">
      <c r="B11" s="49" t="s">
        <v>47</v>
      </c>
      <c r="C11" s="41">
        <f>(SUM('Расчет окупаемости'!B7:M7))/(1+C3*0.01)</f>
        <v>214593410.8262108</v>
      </c>
      <c r="D11" s="1"/>
      <c r="G11" s="6"/>
    </row>
    <row r="12" spans="2:7" hidden="1" x14ac:dyDescent="0.25">
      <c r="B12" s="49" t="s">
        <v>48</v>
      </c>
      <c r="C12" s="41">
        <f>('Расчет окупаемости'!N7/(1+0.1709)^2)</f>
        <v>17568749.753734302</v>
      </c>
      <c r="E12">
        <v>1170566.1184863115</v>
      </c>
    </row>
    <row r="13" spans="2:7" hidden="1" x14ac:dyDescent="0.25">
      <c r="B13" s="49" t="s">
        <v>49</v>
      </c>
      <c r="C13" s="41">
        <f>('Расчет окупаемости'!O7/(1+0.1709)^2)</f>
        <v>17568749.753734302</v>
      </c>
    </row>
    <row r="14" spans="2:7" hidden="1" x14ac:dyDescent="0.25">
      <c r="B14" s="49" t="s">
        <v>50</v>
      </c>
      <c r="C14" s="41">
        <f>('Расчет окупаемости'!P7/(1+0.1709)^2)</f>
        <v>17568749.753734302</v>
      </c>
    </row>
    <row r="15" spans="2:7" hidden="1" x14ac:dyDescent="0.25">
      <c r="B15" s="49" t="s">
        <v>51</v>
      </c>
      <c r="C15" s="41">
        <f>('Расчет окупаемости'!Q7/(1+0.1709)^2)</f>
        <v>17568749.753734302</v>
      </c>
    </row>
    <row r="16" spans="2:7" hidden="1" x14ac:dyDescent="0.25">
      <c r="B16" s="49" t="s">
        <v>52</v>
      </c>
      <c r="C16" s="41">
        <f>('Расчет окупаемости'!R7/(1+0.1709)^2)</f>
        <v>17568749.753734302</v>
      </c>
    </row>
    <row r="17" spans="2:4" hidden="1" x14ac:dyDescent="0.25">
      <c r="B17" s="49" t="s">
        <v>53</v>
      </c>
      <c r="C17" s="41">
        <f>('Расчет окупаемости'!S7/(1+0.1709)^2)</f>
        <v>17568749.753734302</v>
      </c>
    </row>
    <row r="18" spans="2:4" hidden="1" x14ac:dyDescent="0.25">
      <c r="B18" s="49" t="s">
        <v>54</v>
      </c>
      <c r="C18" s="41">
        <f>('Расчет окупаемости'!T7/(1+0.1709)^2)</f>
        <v>17568749.753734302</v>
      </c>
    </row>
    <row r="19" spans="2:4" hidden="1" x14ac:dyDescent="0.25">
      <c r="B19" s="49" t="s">
        <v>55</v>
      </c>
      <c r="C19" s="41">
        <f>('Расчет окупаемости'!U7/(1+0.1709)^2)</f>
        <v>17568749.753734302</v>
      </c>
      <c r="D19" t="s">
        <v>56</v>
      </c>
    </row>
    <row r="20" spans="2:4" x14ac:dyDescent="0.25">
      <c r="B20" s="49" t="s">
        <v>57</v>
      </c>
      <c r="C20" s="41">
        <f>(SUM('Расчет окупаемости'!N7:Y7)/((1+0.01*C3)*(1+0.01*C3)))</f>
        <v>211149467.94263035</v>
      </c>
    </row>
    <row r="21" spans="2:4" x14ac:dyDescent="0.3">
      <c r="B21" s="47"/>
      <c r="C21" s="50"/>
    </row>
    <row r="22" spans="2:4" x14ac:dyDescent="0.3">
      <c r="B22" s="49" t="s">
        <v>58</v>
      </c>
      <c r="C22" s="30">
        <f>SUM('Расчет окупаемости'!B7:M7)</f>
        <v>251074290.66666663</v>
      </c>
    </row>
    <row r="23" spans="2:4" x14ac:dyDescent="0.3">
      <c r="B23" s="49" t="s">
        <v>59</v>
      </c>
      <c r="C23" s="30">
        <f>SUM('Расчет окупаемости'!N7:Y7)</f>
        <v>289042506.66666663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Оборудование</vt:lpstr>
      <vt:lpstr>Инвестиции</vt:lpstr>
      <vt:lpstr>Продажи</vt:lpstr>
      <vt:lpstr>ФОТ</vt:lpstr>
      <vt:lpstr>К</vt:lpstr>
      <vt:lpstr>Затраты</vt:lpstr>
      <vt:lpstr>Расчет окупаемости</vt:lpstr>
      <vt:lpstr>Экономические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BeBoss</dc:creator>
  <cp:lastModifiedBy>NEW LIFE</cp:lastModifiedBy>
  <dcterms:created xsi:type="dcterms:W3CDTF">2018-05-28T14:28:27Z</dcterms:created>
  <dcterms:modified xsi:type="dcterms:W3CDTF">2023-09-20T07:08:41Z</dcterms:modified>
</cp:coreProperties>
</file>